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Users\dgarci10\Desktop\"/>
    </mc:Choice>
  </mc:AlternateContent>
  <xr:revisionPtr revIDLastSave="0" documentId="13_ncr:1_{E2E84403-FECD-4CDF-B6ED-6D9218C402FF}" xr6:coauthVersionLast="41" xr6:coauthVersionMax="45" xr10:uidLastSave="{00000000-0000-0000-0000-000000000000}"/>
  <bookViews>
    <workbookView xWindow="4695" yWindow="1560" windowWidth="38700" windowHeight="15435" tabRatio="815" xr2:uid="{00000000-000D-0000-FFFF-FFFF00000000}"/>
  </bookViews>
  <sheets>
    <sheet name="Summary of Cost Components" sheetId="112" r:id="rId1"/>
    <sheet name="A. Sec.1 - Direct Maintenance" sheetId="111" r:id="rId2"/>
    <sheet name="B. Sec.2 - Non-Direct Expenses" sheetId="113" r:id="rId3"/>
    <sheet name="C. Sec.3 - Other Costs" sheetId="114" r:id="rId4"/>
    <sheet name="D. Sec.4 - TU" sheetId="156" r:id="rId5"/>
    <sheet name="D1. Sec.4 - PY Invoice Summary" sheetId="154" r:id="rId6"/>
    <sheet name="E. Sec.5 - Interest TU (BP)" sheetId="157" r:id="rId7"/>
    <sheet name="E1. Sec.5 - Interest TU (CY)" sheetId="158" r:id="rId8"/>
    <sheet name="F. Sec.6 - Cost Statements" sheetId="160" r:id="rId9"/>
    <sheet name="Stmt AD" sheetId="2" r:id="rId10"/>
    <sheet name="AD-1" sheetId="4" r:id="rId11"/>
    <sheet name="AD-2" sheetId="5" r:id="rId12"/>
    <sheet name="AD-3" sheetId="6" r:id="rId13"/>
    <sheet name="AD-4" sheetId="7" r:id="rId14"/>
    <sheet name="AD-5" sheetId="8" r:id="rId15"/>
    <sheet name="AD-6" sheetId="9" r:id="rId16"/>
    <sheet name="AD-6A" sheetId="168" r:id="rId17"/>
    <sheet name="AD-6B" sheetId="10" r:id="rId18"/>
    <sheet name="AD-6C" sheetId="11" r:id="rId19"/>
    <sheet name="AD-7" sheetId="163" r:id="rId20"/>
    <sheet name="AD-8" sheetId="3" r:id="rId21"/>
    <sheet name="AD-9" sheetId="13" r:id="rId22"/>
    <sheet name="AD-10" sheetId="14" r:id="rId23"/>
    <sheet name="Stmt AE" sheetId="22" r:id="rId24"/>
    <sheet name="AE-1" sheetId="23" r:id="rId25"/>
    <sheet name="AE-1A" sheetId="136" r:id="rId26"/>
    <sheet name="AE-1B" sheetId="152" r:id="rId27"/>
    <sheet name="AE-1C" sheetId="24" r:id="rId28"/>
    <sheet name="AE-2" sheetId="25" r:id="rId29"/>
    <sheet name="AE-3" sheetId="26" r:id="rId30"/>
    <sheet name="AE-4" sheetId="27" r:id="rId31"/>
    <sheet name="Stmt AF" sheetId="34" r:id="rId32"/>
    <sheet name="AF-1" sheetId="165" r:id="rId33"/>
    <sheet name="AF-2" sheetId="167" r:id="rId34"/>
    <sheet name="AF-3" sheetId="135" r:id="rId35"/>
    <sheet name="Stmt AG" sheetId="38" r:id="rId36"/>
    <sheet name="AG-1" sheetId="109" r:id="rId37"/>
    <sheet name="AG-1A" sheetId="159" r:id="rId38"/>
    <sheet name="Stmt AH" sheetId="40" r:id="rId39"/>
    <sheet name="AH-1" sheetId="153" r:id="rId40"/>
    <sheet name="AH-2" sheetId="41" r:id="rId41"/>
    <sheet name="AH-3" sheetId="42" r:id="rId42"/>
    <sheet name="Stmt AI" sheetId="45" r:id="rId43"/>
    <sheet name="AI-1" sheetId="150" r:id="rId44"/>
    <sheet name="Stmt AJ" sheetId="46" r:id="rId45"/>
    <sheet name="AJ-1" sheetId="56" r:id="rId46"/>
    <sheet name="AJ-2" sheetId="59" r:id="rId47"/>
    <sheet name="Stmt AK" sheetId="66" r:id="rId48"/>
    <sheet name="Stmt AL" sheetId="69" r:id="rId49"/>
    <sheet name="AL-1" sheetId="70" r:id="rId50"/>
    <sheet name="AL-2" sheetId="71" r:id="rId51"/>
    <sheet name="Stmt AR" sheetId="75" r:id="rId52"/>
    <sheet name="AR-1" sheetId="161" r:id="rId53"/>
    <sheet name="Stmt AV" sheetId="82" r:id="rId54"/>
    <sheet name="AV-2A" sheetId="84" r:id="rId55"/>
    <sheet name="AV-2B" sheetId="85" r:id="rId56"/>
    <sheet name="AV-4" sheetId="146" r:id="rId57"/>
    <sheet name="Stmt Misc." sheetId="162" r:id="rId58"/>
    <sheet name="Automation" sheetId="151" r:id="rId59"/>
  </sheets>
  <externalReferences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</externalReferences>
  <definedNames>
    <definedName name="____May2007" hidden="1">{"2002Frcst","05Month",FALSE,"Frcst Format 2002"}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May2007" hidden="1">{"2002Frcst","05Month",FALSE,"Frcst Format 2002"}</definedName>
    <definedName name="__123Graph_A" localSheetId="33" hidden="1">[1]reports!#REF!</definedName>
    <definedName name="__123Graph_A" localSheetId="37" hidden="1">[2]reports!#REF!</definedName>
    <definedName name="__123Graph_A" localSheetId="52" hidden="1">[2]reports!#REF!</definedName>
    <definedName name="__123Graph_A" localSheetId="4" hidden="1">[3]reports!#REF!</definedName>
    <definedName name="__123Graph_A" localSheetId="5" hidden="1">[1]reports!#REF!</definedName>
    <definedName name="__123Graph_A" localSheetId="6" hidden="1">[3]reports!#REF!</definedName>
    <definedName name="__123Graph_A" localSheetId="7" hidden="1">[3]reports!#REF!</definedName>
    <definedName name="__123Graph_A" localSheetId="47" hidden="1">[1]reports!#REF!</definedName>
    <definedName name="__123Graph_A" localSheetId="53" hidden="1">[1]reports!#REF!</definedName>
    <definedName name="__123Graph_A" localSheetId="57" hidden="1">[2]reports!#REF!</definedName>
    <definedName name="__123Graph_A" hidden="1">[1]reports!#REF!</definedName>
    <definedName name="__123Graph_AGraph2" localSheetId="33" hidden="1">'[4]Annuity Plan'!#REF!</definedName>
    <definedName name="__123Graph_AGraph2" localSheetId="37" hidden="1">'[5]Annuity Plan'!#REF!</definedName>
    <definedName name="__123Graph_AGraph2" localSheetId="52" hidden="1">'[5]Annuity Plan'!#REF!</definedName>
    <definedName name="__123Graph_AGraph2" localSheetId="4" hidden="1">'[5]Annuity Plan'!#REF!</definedName>
    <definedName name="__123Graph_AGraph2" localSheetId="5" hidden="1">'[4]Annuity Plan'!#REF!</definedName>
    <definedName name="__123Graph_AGraph2" localSheetId="57" hidden="1">'[5]Annuity Plan'!#REF!</definedName>
    <definedName name="__123Graph_AGraph2" hidden="1">'[4]Annuity Plan'!#REF!</definedName>
    <definedName name="__123Graph_AGraph4" localSheetId="33" hidden="1">'[4]Annuity Plan'!#REF!</definedName>
    <definedName name="__123Graph_AGraph4" localSheetId="37" hidden="1">'[5]Annuity Plan'!#REF!</definedName>
    <definedName name="__123Graph_AGraph4" localSheetId="52" hidden="1">'[5]Annuity Plan'!#REF!</definedName>
    <definedName name="__123Graph_AGraph4" localSheetId="4" hidden="1">'[5]Annuity Plan'!#REF!</definedName>
    <definedName name="__123Graph_AGraph4" localSheetId="5" hidden="1">'[4]Annuity Plan'!#REF!</definedName>
    <definedName name="__123Graph_AGraph4" localSheetId="57" hidden="1">'[5]Annuity Plan'!#REF!</definedName>
    <definedName name="__123Graph_AGraph4" hidden="1">'[4]Annuity Plan'!#REF!</definedName>
    <definedName name="__123Graph_B" localSheetId="33" hidden="1">[1]reports!#REF!</definedName>
    <definedName name="__123Graph_B" localSheetId="37" hidden="1">[2]reports!#REF!</definedName>
    <definedName name="__123Graph_B" localSheetId="52" hidden="1">[2]reports!#REF!</definedName>
    <definedName name="__123Graph_B" localSheetId="4" hidden="1">[3]reports!#REF!</definedName>
    <definedName name="__123Graph_B" localSheetId="5" hidden="1">[1]reports!#REF!</definedName>
    <definedName name="__123Graph_B" localSheetId="6" hidden="1">[3]reports!#REF!</definedName>
    <definedName name="__123Graph_B" localSheetId="7" hidden="1">[3]reports!#REF!</definedName>
    <definedName name="__123Graph_B" localSheetId="47" hidden="1">[1]reports!#REF!</definedName>
    <definedName name="__123Graph_B" localSheetId="53" hidden="1">[1]reports!#REF!</definedName>
    <definedName name="__123Graph_B" localSheetId="57" hidden="1">[2]reports!#REF!</definedName>
    <definedName name="__123Graph_B" hidden="1">[1]reports!#REF!</definedName>
    <definedName name="__123Graph_C" localSheetId="33" hidden="1">[1]reports!#REF!</definedName>
    <definedName name="__123Graph_C" localSheetId="37" hidden="1">[2]reports!#REF!</definedName>
    <definedName name="__123Graph_C" localSheetId="52" hidden="1">[2]reports!#REF!</definedName>
    <definedName name="__123Graph_C" localSheetId="4" hidden="1">[3]reports!#REF!</definedName>
    <definedName name="__123Graph_C" localSheetId="5" hidden="1">[1]reports!#REF!</definedName>
    <definedName name="__123Graph_C" localSheetId="6" hidden="1">[3]reports!#REF!</definedName>
    <definedName name="__123Graph_C" localSheetId="7" hidden="1">[3]reports!#REF!</definedName>
    <definedName name="__123Graph_C" localSheetId="47" hidden="1">[1]reports!#REF!</definedName>
    <definedName name="__123Graph_C" localSheetId="53" hidden="1">[1]reports!#REF!</definedName>
    <definedName name="__123Graph_C" localSheetId="57" hidden="1">[2]reports!#REF!</definedName>
    <definedName name="__123Graph_C" hidden="1">[1]reports!#REF!</definedName>
    <definedName name="__123Graph_CCHART1" localSheetId="33" hidden="1">[6]A!#REF!</definedName>
    <definedName name="__123Graph_CCHART1" localSheetId="52" hidden="1">[6]A!#REF!</definedName>
    <definedName name="__123Graph_CCHART1" localSheetId="5" hidden="1">[6]A!#REF!</definedName>
    <definedName name="__123Graph_CCHART1" hidden="1">[6]A!#REF!</definedName>
    <definedName name="__123Graph_CCHART2" localSheetId="33" hidden="1">[6]A!#REF!</definedName>
    <definedName name="__123Graph_CCHART2" localSheetId="52" hidden="1">[6]A!#REF!</definedName>
    <definedName name="__123Graph_CCHART2" localSheetId="5" hidden="1">[6]A!#REF!</definedName>
    <definedName name="__123Graph_CCHART2" hidden="1">[6]A!#REF!</definedName>
    <definedName name="__123Graph_CCHART3" localSheetId="33" hidden="1">[6]A!#REF!</definedName>
    <definedName name="__123Graph_CCHART3" localSheetId="52" hidden="1">[6]A!#REF!</definedName>
    <definedName name="__123Graph_CCHART3" localSheetId="5" hidden="1">[6]A!#REF!</definedName>
    <definedName name="__123Graph_CCHART3" hidden="1">[6]A!#REF!</definedName>
    <definedName name="__123Graph_CCHART4" localSheetId="33" hidden="1">[6]A!#REF!</definedName>
    <definedName name="__123Graph_CCHART4" localSheetId="52" hidden="1">[6]A!#REF!</definedName>
    <definedName name="__123Graph_CCHART4" localSheetId="5" hidden="1">[6]A!#REF!</definedName>
    <definedName name="__123Graph_CCHART4" hidden="1">[6]A!#REF!</definedName>
    <definedName name="__123Graph_CCHART5" localSheetId="33" hidden="1">[6]A!#REF!</definedName>
    <definedName name="__123Graph_CCHART5" localSheetId="52" hidden="1">[6]A!#REF!</definedName>
    <definedName name="__123Graph_CCHART5" localSheetId="5" hidden="1">[6]A!#REF!</definedName>
    <definedName name="__123Graph_CCHART5" hidden="1">[6]A!#REF!</definedName>
    <definedName name="__123Graph_D" localSheetId="33" hidden="1">[1]reports!#REF!</definedName>
    <definedName name="__123Graph_D" localSheetId="37" hidden="1">[2]reports!#REF!</definedName>
    <definedName name="__123Graph_D" localSheetId="52" hidden="1">[2]reports!#REF!</definedName>
    <definedName name="__123Graph_D" localSheetId="4" hidden="1">[3]reports!#REF!</definedName>
    <definedName name="__123Graph_D" localSheetId="5" hidden="1">[1]reports!#REF!</definedName>
    <definedName name="__123Graph_D" localSheetId="6" hidden="1">[3]reports!#REF!</definedName>
    <definedName name="__123Graph_D" localSheetId="7" hidden="1">[3]reports!#REF!</definedName>
    <definedName name="__123Graph_D" localSheetId="47" hidden="1">[1]reports!#REF!</definedName>
    <definedName name="__123Graph_D" localSheetId="53" hidden="1">[1]reports!#REF!</definedName>
    <definedName name="__123Graph_D" localSheetId="57" hidden="1">[2]reports!#REF!</definedName>
    <definedName name="__123Graph_D" hidden="1">[1]reports!#REF!</definedName>
    <definedName name="__123Graph_DCHART1" localSheetId="33" hidden="1">[6]A!#REF!</definedName>
    <definedName name="__123Graph_DCHART1" localSheetId="52" hidden="1">[6]A!#REF!</definedName>
    <definedName name="__123Graph_DCHART1" localSheetId="5" hidden="1">[6]A!#REF!</definedName>
    <definedName name="__123Graph_DCHART1" hidden="1">[6]A!#REF!</definedName>
    <definedName name="__123Graph_DCHART2" localSheetId="33" hidden="1">[6]A!#REF!</definedName>
    <definedName name="__123Graph_DCHART2" localSheetId="52" hidden="1">[6]A!#REF!</definedName>
    <definedName name="__123Graph_DCHART2" localSheetId="5" hidden="1">[6]A!#REF!</definedName>
    <definedName name="__123Graph_DCHART2" hidden="1">[6]A!#REF!</definedName>
    <definedName name="__123Graph_DCHART3" localSheetId="33" hidden="1">[6]A!#REF!</definedName>
    <definedName name="__123Graph_DCHART3" localSheetId="52" hidden="1">[6]A!#REF!</definedName>
    <definedName name="__123Graph_DCHART3" localSheetId="5" hidden="1">[6]A!#REF!</definedName>
    <definedName name="__123Graph_DCHART3" hidden="1">[6]A!#REF!</definedName>
    <definedName name="__123Graph_DCHART4" localSheetId="33" hidden="1">[6]A!#REF!</definedName>
    <definedName name="__123Graph_DCHART4" localSheetId="52" hidden="1">[6]A!#REF!</definedName>
    <definedName name="__123Graph_DCHART4" localSheetId="5" hidden="1">[6]A!#REF!</definedName>
    <definedName name="__123Graph_DCHART4" hidden="1">[6]A!#REF!</definedName>
    <definedName name="__123Graph_DCHART5" localSheetId="33" hidden="1">[6]A!#REF!</definedName>
    <definedName name="__123Graph_DCHART5" localSheetId="52" hidden="1">[6]A!#REF!</definedName>
    <definedName name="__123Graph_DCHART5" localSheetId="5" hidden="1">[6]A!#REF!</definedName>
    <definedName name="__123Graph_DCHART5" hidden="1">[6]A!#REF!</definedName>
    <definedName name="__123Graph_E" localSheetId="33" hidden="1">[1]reports!#REF!</definedName>
    <definedName name="__123Graph_E" localSheetId="37" hidden="1">[2]reports!#REF!</definedName>
    <definedName name="__123Graph_E" localSheetId="52" hidden="1">[2]reports!#REF!</definedName>
    <definedName name="__123Graph_E" localSheetId="4" hidden="1">[3]reports!#REF!</definedName>
    <definedName name="__123Graph_E" localSheetId="5" hidden="1">[1]reports!#REF!</definedName>
    <definedName name="__123Graph_E" localSheetId="6" hidden="1">[3]reports!#REF!</definedName>
    <definedName name="__123Graph_E" localSheetId="7" hidden="1">[3]reports!#REF!</definedName>
    <definedName name="__123Graph_E" localSheetId="47" hidden="1">[1]reports!#REF!</definedName>
    <definedName name="__123Graph_E" localSheetId="53" hidden="1">[1]reports!#REF!</definedName>
    <definedName name="__123Graph_E" localSheetId="57" hidden="1">[2]reports!#REF!</definedName>
    <definedName name="__123Graph_E" hidden="1">[1]reports!#REF!</definedName>
    <definedName name="__123Graph_F" hidden="1">[7]Depreciation!#REF!</definedName>
    <definedName name="__123Graph_FCHART4" localSheetId="33" hidden="1">[6]A!#REF!</definedName>
    <definedName name="__123Graph_FCHART4" localSheetId="52" hidden="1">[6]A!#REF!</definedName>
    <definedName name="__123Graph_FCHART4" localSheetId="5" hidden="1">[6]A!#REF!</definedName>
    <definedName name="__123Graph_FCHART4" hidden="1">[6]A!#REF!</definedName>
    <definedName name="__123Graph_FCHART5" localSheetId="33" hidden="1">[6]A!#REF!</definedName>
    <definedName name="__123Graph_FCHART5" localSheetId="52" hidden="1">[6]A!#REF!</definedName>
    <definedName name="__123Graph_FCHART5" localSheetId="5" hidden="1">[6]A!#REF!</definedName>
    <definedName name="__123Graph_FCHART5" hidden="1">[6]A!#REF!</definedName>
    <definedName name="__123Graph_X" localSheetId="33" hidden="1">[8]reports!#REF!</definedName>
    <definedName name="__123Graph_X" localSheetId="37" hidden="1">[9]reports!#REF!</definedName>
    <definedName name="__123Graph_X" localSheetId="52" hidden="1">[9]reports!#REF!</definedName>
    <definedName name="__123Graph_X" localSheetId="4" hidden="1">[10]reports!#REF!</definedName>
    <definedName name="__123Graph_X" localSheetId="5" hidden="1">[8]reports!#REF!</definedName>
    <definedName name="__123Graph_X" localSheetId="6" hidden="1">[10]reports!#REF!</definedName>
    <definedName name="__123Graph_X" localSheetId="7" hidden="1">[10]reports!#REF!</definedName>
    <definedName name="__123Graph_X" localSheetId="47" hidden="1">[8]reports!#REF!</definedName>
    <definedName name="__123Graph_X" localSheetId="53" hidden="1">[8]reports!#REF!</definedName>
    <definedName name="__123Graph_X" localSheetId="57" hidden="1">[9]reports!#REF!</definedName>
    <definedName name="__123Graph_X" hidden="1">[8]reports!#REF!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FDS_HYPERLINK_TOGGLE_STATE__" hidden="1">"ON"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May2007" hidden="1">{"2002Frcst","05Month",FALSE,"Frcst Format 2002"}</definedName>
    <definedName name="_123Graph_CHART3" localSheetId="16" hidden="1">[11]A!#REF!</definedName>
    <definedName name="_123Graph_CHART3" localSheetId="33" hidden="1">[11]A!#REF!</definedName>
    <definedName name="_123Graph_CHART3" localSheetId="37" hidden="1">[12]A!#REF!</definedName>
    <definedName name="_123Graph_CHART3" localSheetId="52" hidden="1">[12]A!#REF!</definedName>
    <definedName name="_123Graph_CHART3" localSheetId="4" hidden="1">[12]A!#REF!</definedName>
    <definedName name="_123Graph_CHART3" localSheetId="5" hidden="1">[11]A!#REF!</definedName>
    <definedName name="_123Graph_CHART3" localSheetId="57" hidden="1">[12]A!#REF!</definedName>
    <definedName name="_123Graph_CHART3" hidden="1">[11]A!#REF!</definedName>
    <definedName name="_123Graph_E" localSheetId="16" hidden="1">[13]reports!#REF!</definedName>
    <definedName name="_123Graph_E" localSheetId="19" hidden="1">[3]reports!#REF!</definedName>
    <definedName name="_123Graph_E" localSheetId="33" hidden="1">[3]reports!#REF!</definedName>
    <definedName name="_123Graph_E" localSheetId="52" hidden="1">[3]reports!#REF!</definedName>
    <definedName name="_123Graph_E" localSheetId="4" hidden="1">[3]reports!#REF!</definedName>
    <definedName name="_123Graph_E" localSheetId="6" hidden="1">[3]reports!#REF!</definedName>
    <definedName name="_123Graph_E" localSheetId="7" hidden="1">[3]reports!#REF!</definedName>
    <definedName name="_123Graph_E" localSheetId="57" hidden="1">[3]reports!#REF!</definedName>
    <definedName name="_123Graph_E" hidden="1">[3]reports!#REF!</definedName>
    <definedName name="_AMO_SingleObject_157336487_ROM_F0.SEC2.Print_1.SEC1.SEC1.BDY.REV_MO_201601_Data_Set_WORK_BILLDET1" localSheetId="16" hidden="1">#REF!</definedName>
    <definedName name="_AMO_SingleObject_157336487_ROM_F0.SEC2.Print_1.SEC1.SEC1.BDY.REV_MO_201601_Data_Set_WORK_BILLDET1" localSheetId="33" hidden="1">#REF!</definedName>
    <definedName name="_AMO_SingleObject_157336487_ROM_F0.SEC2.Print_1.SEC1.SEC1.BDY.REV_MO_201601_Data_Set_WORK_BILLDET1" localSheetId="52" hidden="1">#REF!</definedName>
    <definedName name="_AMO_SingleObject_157336487_ROM_F0.SEC2.Print_1.SEC1.SEC1.BDY.REV_MO_201601_Data_Set_WORK_BILLDET1" localSheetId="4" hidden="1">#REF!</definedName>
    <definedName name="_AMO_SingleObject_157336487_ROM_F0.SEC2.Print_1.SEC1.SEC1.BDY.REV_MO_201601_Data_Set_WORK_BILLDET1" localSheetId="6" hidden="1">#REF!</definedName>
    <definedName name="_AMO_SingleObject_157336487_ROM_F0.SEC2.Print_1.SEC1.SEC1.BDY.REV_MO_201601_Data_Set_WORK_BILLDET1" localSheetId="7" hidden="1">#REF!</definedName>
    <definedName name="_AMO_SingleObject_157336487_ROM_F0.SEC2.Print_1.SEC1.SEC1.BDY.REV_MO_201601_Data_Set_WORK_BILLDET1" hidden="1">#REF!</definedName>
    <definedName name="_AMO_SingleObject_157336487_ROM_F0.SEC2.Print_1.SEC1.SEC1.HDR.REV_MO_201601" localSheetId="16" hidden="1">#REF!</definedName>
    <definedName name="_AMO_SingleObject_157336487_ROM_F0.SEC2.Print_1.SEC1.SEC1.HDR.REV_MO_201601" localSheetId="33" hidden="1">#REF!</definedName>
    <definedName name="_AMO_SingleObject_157336487_ROM_F0.SEC2.Print_1.SEC1.SEC1.HDR.REV_MO_201601" localSheetId="52" hidden="1">#REF!</definedName>
    <definedName name="_AMO_SingleObject_157336487_ROM_F0.SEC2.Print_1.SEC1.SEC1.HDR.REV_MO_201601" localSheetId="4" hidden="1">#REF!</definedName>
    <definedName name="_AMO_SingleObject_157336487_ROM_F0.SEC2.Print_1.SEC1.SEC1.HDR.REV_MO_201601" localSheetId="6" hidden="1">#REF!</definedName>
    <definedName name="_AMO_SingleObject_157336487_ROM_F0.SEC2.Print_1.SEC1.SEC1.HDR.REV_MO_201601" localSheetId="7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localSheetId="16" hidden="1">#REF!</definedName>
    <definedName name="_AMO_SingleObject_157336487_ROM_F0.SEC2.Print_1.SEC1.SEC2.BDY.REV_MO_201602_Data_Set_WORK_BILLDET1" localSheetId="33" hidden="1">#REF!</definedName>
    <definedName name="_AMO_SingleObject_157336487_ROM_F0.SEC2.Print_1.SEC1.SEC2.BDY.REV_MO_201602_Data_Set_WORK_BILLDET1" localSheetId="52" hidden="1">#REF!</definedName>
    <definedName name="_AMO_SingleObject_157336487_ROM_F0.SEC2.Print_1.SEC1.SEC2.BDY.REV_MO_201602_Data_Set_WORK_BILLDET1" localSheetId="4" hidden="1">#REF!</definedName>
    <definedName name="_AMO_SingleObject_157336487_ROM_F0.SEC2.Print_1.SEC1.SEC2.BDY.REV_MO_201602_Data_Set_WORK_BILLDET1" localSheetId="6" hidden="1">#REF!</definedName>
    <definedName name="_AMO_SingleObject_157336487_ROM_F0.SEC2.Print_1.SEC1.SEC2.BDY.REV_MO_201602_Data_Set_WORK_BILLDET1" localSheetId="7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localSheetId="16" hidden="1">#REF!</definedName>
    <definedName name="_AMO_SingleObject_157336487_ROM_F0.SEC2.Print_1.SEC1.SEC2.HDR.REV_MO_201602" localSheetId="33" hidden="1">#REF!</definedName>
    <definedName name="_AMO_SingleObject_157336487_ROM_F0.SEC2.Print_1.SEC1.SEC2.HDR.REV_MO_201602" localSheetId="52" hidden="1">#REF!</definedName>
    <definedName name="_AMO_SingleObject_157336487_ROM_F0.SEC2.Print_1.SEC1.SEC2.HDR.REV_MO_201602" localSheetId="4" hidden="1">#REF!</definedName>
    <definedName name="_AMO_SingleObject_157336487_ROM_F0.SEC2.Print_1.SEC1.SEC2.HDR.REV_MO_201602" localSheetId="6" hidden="1">#REF!</definedName>
    <definedName name="_AMO_SingleObject_157336487_ROM_F0.SEC2.Print_1.SEC1.SEC2.HDR.REV_MO_201602" localSheetId="7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localSheetId="16" hidden="1">#REF!</definedName>
    <definedName name="_AMO_SingleObject_157336487_ROM_F0.SEC2.Print_1.SEC1.SEC3.BDY.REV_MO_201603_Data_Set_WORK_BILLDET1" localSheetId="33" hidden="1">#REF!</definedName>
    <definedName name="_AMO_SingleObject_157336487_ROM_F0.SEC2.Print_1.SEC1.SEC3.BDY.REV_MO_201603_Data_Set_WORK_BILLDET1" localSheetId="52" hidden="1">#REF!</definedName>
    <definedName name="_AMO_SingleObject_157336487_ROM_F0.SEC2.Print_1.SEC1.SEC3.BDY.REV_MO_201603_Data_Set_WORK_BILLDET1" localSheetId="4" hidden="1">#REF!</definedName>
    <definedName name="_AMO_SingleObject_157336487_ROM_F0.SEC2.Print_1.SEC1.SEC3.BDY.REV_MO_201603_Data_Set_WORK_BILLDET1" localSheetId="6" hidden="1">#REF!</definedName>
    <definedName name="_AMO_SingleObject_157336487_ROM_F0.SEC2.Print_1.SEC1.SEC3.BDY.REV_MO_201603_Data_Set_WORK_BILLDET1" localSheetId="7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localSheetId="16" hidden="1">#REF!</definedName>
    <definedName name="_AMO_SingleObject_157336487_ROM_F0.SEC2.Print_1.SEC1.SEC3.HDR.REV_MO_201603" localSheetId="33" hidden="1">#REF!</definedName>
    <definedName name="_AMO_SingleObject_157336487_ROM_F0.SEC2.Print_1.SEC1.SEC3.HDR.REV_MO_201603" localSheetId="52" hidden="1">#REF!</definedName>
    <definedName name="_AMO_SingleObject_157336487_ROM_F0.SEC2.Print_1.SEC1.SEC3.HDR.REV_MO_201603" localSheetId="4" hidden="1">#REF!</definedName>
    <definedName name="_AMO_SingleObject_157336487_ROM_F0.SEC2.Print_1.SEC1.SEC3.HDR.REV_MO_201603" localSheetId="6" hidden="1">#REF!</definedName>
    <definedName name="_AMO_SingleObject_157336487_ROM_F0.SEC2.Print_1.SEC1.SEC3.HDR.REV_MO_201603" localSheetId="7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localSheetId="16" hidden="1">#REF!</definedName>
    <definedName name="_AMO_SingleObject_157336487_ROM_F0.SEC2.Print_1.SEC1.SEC4.BDY.REV_MO_999999_Data_Set_WORK_BILLDET1" localSheetId="33" hidden="1">#REF!</definedName>
    <definedName name="_AMO_SingleObject_157336487_ROM_F0.SEC2.Print_1.SEC1.SEC4.BDY.REV_MO_999999_Data_Set_WORK_BILLDET1" localSheetId="52" hidden="1">#REF!</definedName>
    <definedName name="_AMO_SingleObject_157336487_ROM_F0.SEC2.Print_1.SEC1.SEC4.BDY.REV_MO_999999_Data_Set_WORK_BILLDET1" localSheetId="4" hidden="1">#REF!</definedName>
    <definedName name="_AMO_SingleObject_157336487_ROM_F0.SEC2.Print_1.SEC1.SEC4.BDY.REV_MO_999999_Data_Set_WORK_BILLDET1" localSheetId="6" hidden="1">#REF!</definedName>
    <definedName name="_AMO_SingleObject_157336487_ROM_F0.SEC2.Print_1.SEC1.SEC4.BDY.REV_MO_999999_Data_Set_WORK_BILLDET1" localSheetId="7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localSheetId="16" hidden="1">#REF!</definedName>
    <definedName name="_AMO_SingleObject_157336487_ROM_F0.SEC2.Print_1.SEC1.SEC4.HDR.REV_MO_999999" localSheetId="33" hidden="1">#REF!</definedName>
    <definedName name="_AMO_SingleObject_157336487_ROM_F0.SEC2.Print_1.SEC1.SEC4.HDR.REV_MO_999999" localSheetId="52" hidden="1">#REF!</definedName>
    <definedName name="_AMO_SingleObject_157336487_ROM_F0.SEC2.Print_1.SEC1.SEC4.HDR.REV_MO_999999" localSheetId="4" hidden="1">#REF!</definedName>
    <definedName name="_AMO_SingleObject_157336487_ROM_F0.SEC2.Print_1.SEC1.SEC4.HDR.REV_MO_999999" localSheetId="6" hidden="1">#REF!</definedName>
    <definedName name="_AMO_SingleObject_157336487_ROM_F0.SEC2.Print_1.SEC1.SEC4.HDR.REV_MO_999999" localSheetId="7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Fill" localSheetId="16" hidden="1">[8]reports!#REF!</definedName>
    <definedName name="_Fill" localSheetId="33" hidden="1">[8]reports!#REF!</definedName>
    <definedName name="_Fill" localSheetId="37" hidden="1">[9]reports!#REF!</definedName>
    <definedName name="_Fill" localSheetId="52" hidden="1">[9]reports!#REF!</definedName>
    <definedName name="_Fill" localSheetId="4" hidden="1">[10]reports!#REF!</definedName>
    <definedName name="_Fill" localSheetId="5" hidden="1">[8]reports!#REF!</definedName>
    <definedName name="_Fill" localSheetId="6" hidden="1">[10]reports!#REF!</definedName>
    <definedName name="_Fill" localSheetId="7" hidden="1">[10]reports!#REF!</definedName>
    <definedName name="_Fill" localSheetId="47" hidden="1">[8]reports!#REF!</definedName>
    <definedName name="_Fill" localSheetId="51" hidden="1">#REF!</definedName>
    <definedName name="_Fill" localSheetId="53" hidden="1">[8]reports!#REF!</definedName>
    <definedName name="_Fill" localSheetId="57" hidden="1">[9]reports!#REF!</definedName>
    <definedName name="_Fill" hidden="1">[8]reports!#REF!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Key1" localSheetId="33" hidden="1">'[14]CAP ADJ'!#REF!</definedName>
    <definedName name="_Key1" localSheetId="37" hidden="1">'[15]CAP ADJ'!#REF!</definedName>
    <definedName name="_Key1" localSheetId="52" hidden="1">'[15]CAP ADJ'!#REF!</definedName>
    <definedName name="_Key1" localSheetId="4" hidden="1">'[15]CAP ADJ'!#REF!</definedName>
    <definedName name="_Key1" localSheetId="5" hidden="1">'[14]CAP ADJ'!#REF!</definedName>
    <definedName name="_Key1" localSheetId="42" hidden="1">'[14]CAP ADJ'!#REF!</definedName>
    <definedName name="_Key1" localSheetId="47" hidden="1">'[14]CAP ADJ'!#REF!</definedName>
    <definedName name="_Key1" localSheetId="51" hidden="1">'[16]CAP ADJ'!#REF!</definedName>
    <definedName name="_Key1" localSheetId="53" hidden="1">'[16]CAP ADJ'!#REF!</definedName>
    <definedName name="_Key1" localSheetId="57" hidden="1">'[15]CAP ADJ'!#REF!</definedName>
    <definedName name="_Key1" hidden="1">'[14]CAP ADJ'!#REF!</definedName>
    <definedName name="_Key2" localSheetId="33" hidden="1">'[14]CAP ADJ'!#REF!</definedName>
    <definedName name="_Key2" localSheetId="37" hidden="1">'[15]CAP ADJ'!#REF!</definedName>
    <definedName name="_Key2" localSheetId="52" hidden="1">'[15]CAP ADJ'!#REF!</definedName>
    <definedName name="_Key2" localSheetId="4" hidden="1">'[15]CAP ADJ'!#REF!</definedName>
    <definedName name="_Key2" localSheetId="5" hidden="1">'[14]CAP ADJ'!#REF!</definedName>
    <definedName name="_Key2" localSheetId="42" hidden="1">'[14]CAP ADJ'!#REF!</definedName>
    <definedName name="_Key2" localSheetId="47" hidden="1">'[14]CAP ADJ'!#REF!</definedName>
    <definedName name="_Key2" localSheetId="51" hidden="1">'[16]CAP ADJ'!#REF!</definedName>
    <definedName name="_Key2" localSheetId="53" hidden="1">'[16]CAP ADJ'!#REF!</definedName>
    <definedName name="_Key2" localSheetId="57" hidden="1">'[15]CAP ADJ'!#REF!</definedName>
    <definedName name="_Key2" hidden="1">'[14]CAP ADJ'!#REF!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hidden="1">{"2002Frcst","05Month",FALSE,"Frcst Format 2002"}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Regression_Out" hidden="1">#REF!</definedName>
    <definedName name="_Regression_X" hidden="1">'[17]Distr LRMCs'!#REF!</definedName>
    <definedName name="_Regression_Y" hidden="1">#REF!</definedName>
    <definedName name="_Sort" localSheetId="33" hidden="1">'[14]CAP ADJ'!#REF!</definedName>
    <definedName name="_Sort" localSheetId="37" hidden="1">'[15]CAP ADJ'!#REF!</definedName>
    <definedName name="_Sort" localSheetId="52" hidden="1">'[15]CAP ADJ'!#REF!</definedName>
    <definedName name="_Sort" localSheetId="4" hidden="1">'[15]CAP ADJ'!#REF!</definedName>
    <definedName name="_Sort" localSheetId="5" hidden="1">'[14]CAP ADJ'!#REF!</definedName>
    <definedName name="_Sort" localSheetId="42" hidden="1">'[14]CAP ADJ'!#REF!</definedName>
    <definedName name="_Sort" localSheetId="47" hidden="1">'[14]CAP ADJ'!#REF!</definedName>
    <definedName name="_Sort" localSheetId="51" hidden="1">'[16]CAP ADJ'!#REF!</definedName>
    <definedName name="_Sort" localSheetId="53" hidden="1">'[16]CAP ADJ'!#REF!</definedName>
    <definedName name="_Sort" localSheetId="57" hidden="1">'[15]CAP ADJ'!#REF!</definedName>
    <definedName name="_Sort" hidden="1">'[14]CAP ADJ'!#REF!</definedName>
    <definedName name="_Table1_In1" hidden="1">#REF!</definedName>
    <definedName name="_Table1_Out" hidden="1">#REF!</definedName>
    <definedName name="_Table2_Out" hidden="1">#REF!</definedName>
    <definedName name="_w2" hidden="1">{"SourcesUses",#N/A,TRUE,"CFMODEL";"TransOverview",#N/A,TRUE,"CFMODEL"}</definedName>
    <definedName name="a" localSheetId="16" hidden="1">{#N/A,#N/A,TRUE,"SDGE";#N/A,#N/A,TRUE,"GBU";#N/A,#N/A,TRUE,"TBU";#N/A,#N/A,TRUE,"EDBU";#N/A,#N/A,TRUE,"ExclCC"}</definedName>
    <definedName name="a" localSheetId="19" hidden="1">{#N/A,#N/A,TRUE,"SDGE";#N/A,#N/A,TRUE,"GBU";#N/A,#N/A,TRUE,"TBU";#N/A,#N/A,TRUE,"EDBU";#N/A,#N/A,TRUE,"ExclCC"}</definedName>
    <definedName name="a" localSheetId="36" hidden="1">{#N/A,#N/A,TRUE,"SDGE";#N/A,#N/A,TRUE,"GBU";#N/A,#N/A,TRUE,"TBU";#N/A,#N/A,TRUE,"EDBU";#N/A,#N/A,TRUE,"ExclCC"}</definedName>
    <definedName name="a" localSheetId="37" hidden="1">{#N/A,#N/A,TRUE,"SDGE";#N/A,#N/A,TRUE,"GBU";#N/A,#N/A,TRUE,"TBU";#N/A,#N/A,TRUE,"EDBU";#N/A,#N/A,TRUE,"ExclCC"}</definedName>
    <definedName name="a" localSheetId="41" hidden="1">{#N/A,#N/A,TRUE,"SDGE";#N/A,#N/A,TRUE,"GBU";#N/A,#N/A,TRUE,"TBU";#N/A,#N/A,TRUE,"EDBU";#N/A,#N/A,TRUE,"ExclCC"}</definedName>
    <definedName name="a" localSheetId="52" hidden="1">{#N/A,#N/A,TRUE,"SDGE";#N/A,#N/A,TRUE,"GBU";#N/A,#N/A,TRUE,"TBU";#N/A,#N/A,TRUE,"EDBU";#N/A,#N/A,TRUE,"ExclCC"}</definedName>
    <definedName name="a" localSheetId="4" hidden="1">{#N/A,#N/A,TRUE,"SDGE";#N/A,#N/A,TRUE,"GBU";#N/A,#N/A,TRUE,"TBU";#N/A,#N/A,TRUE,"EDBU";#N/A,#N/A,TRUE,"ExclCC"}</definedName>
    <definedName name="a" localSheetId="57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aa" hidden="1">{"Income Statement",#N/A,FALSE,"CFMODEL";"Balance Sheet",#N/A,FALSE,"CFMODEL"}</definedName>
    <definedName name="aaaaa" hidden="1">{#N/A,#N/A,TRUE,"SDGE";#N/A,#N/A,TRUE,"GBU";#N/A,#N/A,TRUE,"TBU";#N/A,#N/A,TRUE,"EDBU";#N/A,#N/A,TRUE,"ExclCC"}</definedName>
    <definedName name="aaaaaaaaaaaaa" hidden="1">{"SourcesUses",#N/A,TRUE,"CFMODEL";"TransOverview",#N/A,TRUE,"CFMODEL"}</definedName>
    <definedName name="abc" hidden="1">"3Q12KMQDU0T4XKGIPPUR4OEMV"</definedName>
    <definedName name="ad" hidden="1">{"var_page",#N/A,FALSE,"template"}</definedName>
    <definedName name="adafdadf" hidden="1">{"Var_page",#N/A,FALSE,"template"}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G" localSheetId="16" hidden="1">[18]reports!#REF!</definedName>
    <definedName name="AG" localSheetId="19" hidden="1">[18]reports!#REF!</definedName>
    <definedName name="AG" localSheetId="33" hidden="1">[18]reports!#REF!</definedName>
    <definedName name="AG" localSheetId="37" hidden="1">[18]reports!#REF!</definedName>
    <definedName name="AG" localSheetId="52" hidden="1">[18]reports!#REF!</definedName>
    <definedName name="AG" localSheetId="4" hidden="1">[18]reports!#REF!</definedName>
    <definedName name="AG" localSheetId="5" hidden="1">[18]reports!#REF!</definedName>
    <definedName name="AG" localSheetId="57" hidden="1">[18]reports!#REF!</definedName>
    <definedName name="AG" hidden="1">[18]reports!#REF!</definedName>
    <definedName name="anscount" hidden="1">2</definedName>
    <definedName name="ARange24" hidden="1">'[19]Partner 1 Back-Leverage'!$A$3:$A$403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b" localSheetId="16" hidden="1">{#N/A,#N/A,TRUE,"SDGE";#N/A,#N/A,TRUE,"GBU";#N/A,#N/A,TRUE,"TBU";#N/A,#N/A,TRUE,"EDBU";#N/A,#N/A,TRUE,"ExclCC"}</definedName>
    <definedName name="b" localSheetId="19" hidden="1">{#N/A,#N/A,TRUE,"SDGE";#N/A,#N/A,TRUE,"GBU";#N/A,#N/A,TRUE,"TBU";#N/A,#N/A,TRUE,"EDBU";#N/A,#N/A,TRUE,"ExclCC"}</definedName>
    <definedName name="b" localSheetId="36" hidden="1">{#N/A,#N/A,TRUE,"SDGE";#N/A,#N/A,TRUE,"GBU";#N/A,#N/A,TRUE,"TBU";#N/A,#N/A,TRUE,"EDBU";#N/A,#N/A,TRUE,"ExclCC"}</definedName>
    <definedName name="b" localSheetId="37" hidden="1">{#N/A,#N/A,TRUE,"SDGE";#N/A,#N/A,TRUE,"GBU";#N/A,#N/A,TRUE,"TBU";#N/A,#N/A,TRUE,"EDBU";#N/A,#N/A,TRUE,"ExclCC"}</definedName>
    <definedName name="b" localSheetId="41" hidden="1">{#N/A,#N/A,TRUE,"SDGE";#N/A,#N/A,TRUE,"GBU";#N/A,#N/A,TRUE,"TBU";#N/A,#N/A,TRUE,"EDBU";#N/A,#N/A,TRUE,"ExclCC"}</definedName>
    <definedName name="b" localSheetId="52" hidden="1">{#N/A,#N/A,TRUE,"SDGE";#N/A,#N/A,TRUE,"GBU";#N/A,#N/A,TRUE,"TBU";#N/A,#N/A,TRUE,"EDBU";#N/A,#N/A,TRUE,"ExclCC"}</definedName>
    <definedName name="b" localSheetId="4" hidden="1">{#N/A,#N/A,TRUE,"SDGE";#N/A,#N/A,TRUE,"GBU";#N/A,#N/A,TRUE,"TBU";#N/A,#N/A,TRUE,"EDBU";#N/A,#N/A,TRUE,"ExclCC"}</definedName>
    <definedName name="b" localSheetId="57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Ex00GHMXV67V1IG4T3LJKINJOCE" hidden="1">Addn [20]Info!$B$7:$C$7</definedName>
    <definedName name="BEx00NZ7E5MCKBWJU6YPJ0CIZGM1" hidden="1">#REF!</definedName>
    <definedName name="BEx00RKU39JBM7SUSNPNGYECEJZV" hidden="1">Addn [20]Info!$B$217:$T$225</definedName>
    <definedName name="BEx00VMF6OHXZLZWCWECCE3SHOY6" hidden="1">Functional [21]Costs!$B$7:$C$7</definedName>
    <definedName name="BEx018IE720H8Z2DTAJU85MF1MQT" hidden="1">Addn [20]Info!$B$14</definedName>
    <definedName name="BEx018NP0S5GEJKB3HT0W5HEFFUW" hidden="1">Functional [21]Costs!$B$11:$E$13</definedName>
    <definedName name="BEx01A5MM0X3EW0B595MY7WRLW01" hidden="1">Addn [20]Info!$B$212:$T$215</definedName>
    <definedName name="BEx01D087DSHBK4MOGCV0J1A9O5C" hidden="1">SEU Func [22]Area!$A$37:$A$38</definedName>
    <definedName name="BEx01F3QM3HEPCWWJJEX0L0RVWAN" hidden="1">#REF!</definedName>
    <definedName name="BEx01KCHKZJCF91ETSRPIFWQQAC1" hidden="1">Addn [20]Info!$B$14:$AF$96</definedName>
    <definedName name="BEx028MGCR0BV1OQZV038K5A4KR7" hidden="1">Addn [20]Info!$B$7:$C$7</definedName>
    <definedName name="BEx02JEVS5Y9ANXL35AI60XC861X" hidden="1">Addn [20]Info!$B$100:$T$208</definedName>
    <definedName name="BEx04128O1W72UO1QC7UCPNNZG9Z" hidden="1">Financial &amp; Non-[23]Financial!$B$135:$Q$183</definedName>
    <definedName name="BEx1EQLVKGR0YQ630F75LKBMUD9Q" hidden="1">#REF!</definedName>
    <definedName name="BEx1FMDJGHELQUASX5HFL9J4RE3D" hidden="1">SEU Func [22]Area!$A$21:$B$21</definedName>
    <definedName name="BEx1FN9XD8476NWAOIPFIQFAP91R" hidden="1">Addn [20]Info!$B$27:$T$38</definedName>
    <definedName name="BEx1G128RXM0XJFJS75YTQJP1Q9R" hidden="1">SEU Func [22]Area!$D$1:$D$1</definedName>
    <definedName name="BEx1G9AW6BYCF2WYM1TVBBM7QSC9" hidden="1">#REF!</definedName>
    <definedName name="BEx1GFG4TPKIQWVZUC3BRZ33360O" hidden="1">#REF!</definedName>
    <definedName name="BEx1GH8V32T74W3SDLZNWIEFOJMB" hidden="1">SEU Func Area by [24]Driver!$A$16:$B$16</definedName>
    <definedName name="BEx1GJSHRDLE9CKAZP6VYGNF8WAG" hidden="1">SEU Func Area by [24]Driver!$D$4:$E$4</definedName>
    <definedName name="BEx1GP6Q18Y44JCRA9DPKE7V7882" hidden="1">SEU Func [22]Area!$D$19:$E$19</definedName>
    <definedName name="BEx1GV6HL426WS23WUK9S7XW7FX9" hidden="1">Addn [20]Info!$B$13:$T$26</definedName>
    <definedName name="BEx1GY13FUWX193W8IDTUD617BUN" hidden="1">Functional [21]Costs!$B$14</definedName>
    <definedName name="BEx1HQCNLA2KXL1D5E998O0G20TZ" hidden="1">SEU Driver [25]Cd!$D$8:$E$8</definedName>
    <definedName name="BEx1HT78JLDAMJRZ3P9PTYM0U8XS" hidden="1">SCG Func [22]Area!$D$9:$E$9</definedName>
    <definedName name="BEx1ID9XWI0EXHZYLQIL8D0C0WH5" hidden="1">Addn [20]Info!$B$27:$T$38</definedName>
    <definedName name="BEx1IK0TJV8J9XYO8DS8X7JYCB14" hidden="1">SEU Func [22]Area!$A$15:$B$15</definedName>
    <definedName name="BEx1J0T1LZ9TBG36H8UB1M80V9AK" hidden="1">Functional [21]Costs!$B$31:$T$320</definedName>
    <definedName name="BEx1J4916QYSR8WPX1XHGOWA103Q" hidden="1">SEU Func Comm by [24]Driver!$A$5:$B$5</definedName>
    <definedName name="BEx1JF6S184IMMIL22WMI24WC7HD" hidden="1">Addn [20]Info!$B$79:$T$101</definedName>
    <definedName name="BEx1JGDY5NT12UZS6711YPIP9E4I" hidden="1">#REF!</definedName>
    <definedName name="BEx1JPJ3GNL4JBOQ0VTJ2F27GORL" hidden="1">[0]!SDGE Func [22]Area!$A$6:$B$6</definedName>
    <definedName name="BEx1L5DJE8K7R3Y5C1GBMPG80XDP" hidden="1">Addn [20]Info!$B$102:$T$211</definedName>
    <definedName name="BEx1L7RW4E4AHIWD20SD8XXF8XY4" hidden="1">SEU Driver [25]Cd!$D$5:$E$5</definedName>
    <definedName name="BEx1LKYMFDZHFZ6EQ50UC0ZEGJGN" hidden="1">Addn [20]Info!$B$3</definedName>
    <definedName name="BEx1LSGD5W6G03IPF1V0A8O9XNWR" hidden="1">Functional [21]Costs!$B$4:$B$5</definedName>
    <definedName name="BEx1LVWJKI98V71VUT7OAJ5CAMKN" hidden="1">Addn [20]Info!$B$78:$T$100</definedName>
    <definedName name="BEx1MHBUVWYO0XOUSCOV752SUYZE" hidden="1">Financial &amp; Non-[23]Financial!$B$110:$P$133</definedName>
    <definedName name="BEx1NAJS89E9Y0NV0RM3KUU5CB5R" hidden="1">Addn [20]Info!$B$78:$T$100</definedName>
    <definedName name="BEx1NQKYIAPPIOD2SMZ7820ZNOSF" hidden="1">Addn [20]Info!$B$14:$T$27</definedName>
    <definedName name="BEx1NVOE7GJ6WKW7I9CREZ2GP8TD" hidden="1">Addn [20]Info!$B$212:$T$215</definedName>
    <definedName name="BEx1O54CDEKZNW8NQYXSU5O9H2LF" hidden="1">[0]!SDGE Func [22]Area!$A$12:$B$12</definedName>
    <definedName name="BEx1OTUFQX114IUT3GN0TVYSYB5M" hidden="1">Addn [20]Info!$B$71:$T$78</definedName>
    <definedName name="BEx1P3FODKMSYNP46H6VG2XDKGC7" hidden="1">Financial &amp; Non-[23]Financial!$B$186:$P$190</definedName>
    <definedName name="BEx1Q0EIX8A33V3LFNH493ILI0HX" hidden="1">Addn [20]Info!$B$4:$B$5</definedName>
    <definedName name="BEx1Q0JTU5M0YHKGIG4H1DP3QQOY" hidden="1">SEU Func [22]Area!$D$25:$E$25</definedName>
    <definedName name="BEx1R3TB96C84UAF24S3ITS3JH5R" hidden="1">SCG Func [22]Area!$A$8:$B$8</definedName>
    <definedName name="BEx1R49EW58CQXI9JK7BKROC7KN1" hidden="1">Addn [20]Info!$B$13:$T$26</definedName>
    <definedName name="BEx1RGJR2PVQ3D3SA5X6L9QPM7F4" hidden="1">Functional [21]Costs!$B$7:$C$7</definedName>
    <definedName name="BEx1RME8LVJIKMHRI4PHSH9V2CVY" hidden="1">Addn [20]Info!$B$3</definedName>
    <definedName name="BEx1ROXUWY4JF43R22YGQV8VS0G7" hidden="1">Addn [20]Info!$B$217:$T$225</definedName>
    <definedName name="BEx1S29YABN753A629BX6PXBFA96" hidden="1">Addn [20]Info!$B$102:$T$211</definedName>
    <definedName name="BEx1S5Q3TCX96WTELY74HA2ASVJT" hidden="1">#REF!</definedName>
    <definedName name="BEx1SDTFFOGLBUZL27LL4A0YI943" hidden="1">Addn [20]Info!$B$39:$T$72</definedName>
    <definedName name="BEx1SIWTLD5J30EPTJW7XO561SJG" hidden="1">#REF!</definedName>
    <definedName name="BEx1SMCVHCJUCMC4FVFM78N6H72U" hidden="1">SEU Func [22]Area!$A$22:$B$22</definedName>
    <definedName name="BEx1STULMAWD0NEAREILM64OPY00" hidden="1">Addn [20]Info!$B$79:$T$101</definedName>
    <definedName name="BEx1SUWGDLGRUWXJTM1C7TJGIJR8" hidden="1">Addn [20]Info!$B$8:$C$9</definedName>
    <definedName name="BEx1T3QNED4G45NO2INJRTKAD45T" hidden="1">Functional [21]Costs!$B$3</definedName>
    <definedName name="BEx1T8U2JOKCUEEX4YLT03SKWQ6G" hidden="1">[0]!SDGE Func [22]Area!$A$19:$A$20</definedName>
    <definedName name="BEx1TETUI9OXKL0Z7E9VQDC08FJG" hidden="1">Addn [20]Info!$B$102:$T$211</definedName>
    <definedName name="BEx1UIJDWIKALV3EM8BJYPLENFMV" hidden="1">Addn [20]Info!$F$11:$F$12</definedName>
    <definedName name="BEx1UWMHP3RS3MO76CVAU4P9KH2B" hidden="1">SEU Func Area by [24]Driver!$A$3:$B$3</definedName>
    <definedName name="BEx1V5M8GZ4M0D63HGWVN0QG25LG" hidden="1">SEU Driver by Func [22]Area!$D$12:$E$12</definedName>
    <definedName name="BEx1VKLP2EMBATC7SZ4FLJRJ8VFI" hidden="1">SCG Func [22]Area!$D$11:$E$11</definedName>
    <definedName name="BEx1VV8NGNLAOB6X4WL8PL46CSCB" hidden="1">Functional [21]Costs!$B$8:$C$9</definedName>
    <definedName name="BEx1WEPZTS8G9SY4FERGMHWFIYY3" hidden="1">SCG Func [22]Area!$A$4:$B$4</definedName>
    <definedName name="BEx1X9AICW4MTOYHJ5TS4E03359S" hidden="1">SEU Func [22]Area!$D$10:$E$10</definedName>
    <definedName name="BEx1XZ7QPNQFFG75UYWAOLXQJXWJ" hidden="1">SEU Driver by Func [22]Area!$D$4:$E$4</definedName>
    <definedName name="BEx3AEHZW9LV0JGOI3140E9RU17M" hidden="1">Addn [20]Info!$B$4:$B$5</definedName>
    <definedName name="BEx3BOSY29ELEJ90MCIEMAGOLTHV" hidden="1">SEU Func Area by [24]Driver!$A$4:$B$4</definedName>
    <definedName name="BEx3BY8WKSOC5XACCR5M2YP8BP70" hidden="1">#REF!</definedName>
    <definedName name="BEx3C0HPWFOJP9Q302IKBHWFV9DX" hidden="1">SEU Func [22]Area!$A$16:$B$16</definedName>
    <definedName name="BEx3CT48SATJWIT8QHVS6DQ5P4LM" hidden="1">Financial &amp; Non-[23]Financial!$B$186:$P$190</definedName>
    <definedName name="BEx3CYT1ZL8MYON1H0NO1OCITU6Y" hidden="1">#REF!</definedName>
    <definedName name="BEx3D2K1ZM1P4KC7KYJ0X36ABUFH" hidden="1">SEU Func Comm by [24]Driver!$A$1:$A$1</definedName>
    <definedName name="BEx3D83Q0RX8NCO14VJZ6F7PPS9D" hidden="1">SEU Func [22]Area!$A$18:$B$18</definedName>
    <definedName name="BEx3DKDXLAZ3571ELHUDJ1PNATW8" hidden="1">SEU Driver [25]Cd!$A$11:$B$11</definedName>
    <definedName name="BEx3DY6A6OPCMFSTO9WZP1NEBG24" hidden="1">#REF!</definedName>
    <definedName name="BEx3E1GWXLZJM9TQAB3W6662B9QP" hidden="1">Addn [20]Info!$F$10:$F$13</definedName>
    <definedName name="BEx3E9PPY44KH2XGA8UMDMWC8W3I" hidden="1">#REF!</definedName>
    <definedName name="BEx3EA5SXED2RVVFEO20G847BZSN" hidden="1">#REF!</definedName>
    <definedName name="BEx3EAREXYW79BJYLUDYECDKM9AL" hidden="1">SEU Func Area by [24]Driver!$D$3:$E$3</definedName>
    <definedName name="BEx3EXJFOP6C1X0JLHB9Q8FAQTXP" hidden="1">#REF!</definedName>
    <definedName name="BEx3FID7JXDA6WTSV4AEOCFHW8I2" hidden="1">Addn [20]Info!$B$71:$T$78</definedName>
    <definedName name="BEx3G7OW5MPIEEHI12V7QP9OZ8AH" hidden="1">#REF!</definedName>
    <definedName name="BEx3GFXO9P9TWVWKR9NW8N5RVFU7" hidden="1">SEU Driver [25]Cd!$A$13:$B$13</definedName>
    <definedName name="BEx3GXM8YOHYYQ8YL2U1M52A29Z0" hidden="1">Functional [21]Costs!$B$7:$C$7</definedName>
    <definedName name="BEx3HE3PCILPEW4KD2C00CJNRJZZ" hidden="1">SEU Driver [25]Cd!$A$7:$B$7</definedName>
    <definedName name="BEx3HSXOVI1E2FREWWS86O8R19E2" hidden="1">Financial &amp; Non-[23]Financial!$B$110:$P$133</definedName>
    <definedName name="BEx3IZN5224O9JUXPERTAGQ9BHZP" hidden="1">#REF!</definedName>
    <definedName name="BEx3JAA3E69G5K7ODRWCZN7HKKAB" hidden="1">Addn [20]Info!$B$11:$E$13</definedName>
    <definedName name="BEx3K3Y9OPKSIZA0E1EEG4NT5B0T" hidden="1">Addn [20]Info!$F$10:$F$12</definedName>
    <definedName name="BEx3K7UJ43OGQ20KNWYO03FVJ96T" hidden="1">Financial &amp; Non-[23]Financial!$B$11:$E$12</definedName>
    <definedName name="BEx3KH51243KR3TT5ZRP4W4KYX6S" hidden="1">SCG Func [22]Area!$A$15:$B$15</definedName>
    <definedName name="BEx3LQ3AM8COFHOZW48MW1PCSMFB" hidden="1">Addn [20]Info!$B$27:$T$38</definedName>
    <definedName name="BEx3LW39LX1DJIBZWULPI9CMSOC2" hidden="1">Addn [20]Info!$B$14:$U$153</definedName>
    <definedName name="BEx3M7H9TQG9BSH3XCM8YAT6G6WJ" hidden="1">Financial &amp; Non-[23]Financial!$B$11:$E$12</definedName>
    <definedName name="BEx3M7XDIMHCSLM9Y2AT9NWLAOMY" hidden="1">Addn [20]Info!$B$13:$T$26</definedName>
    <definedName name="BEx3MH2DKQSONMDJMVD4F2NKNM7G" hidden="1">Addn [20]Info!$B$102:$T$211</definedName>
    <definedName name="BEx3MSGDXGW7OSHCKKQPMKKDR21A" hidden="1">Addn [20]Info!$B$212:$T$218</definedName>
    <definedName name="BEx3N1G1UA6DMAIM7LIDXN7RKUUX" hidden="1">[0]!SDGE Func [22]Area!$D$6:$E$6</definedName>
    <definedName name="BEx3N3EA4VJGB0V14C2HEGPXKP2I" hidden="1">Addn [20]Info!$B$8:$C$9</definedName>
    <definedName name="BEx3NAFRIW5XWQA3OPN0Q24T0T42" hidden="1">Financial &amp; Non-[23]Financial!$B$14:$P$108</definedName>
    <definedName name="BEx3NEXKLPYH9X4KCYI7ESLC2GL4" hidden="1">Financial &amp; Non-[23]Financial!$B$8:$C$9</definedName>
    <definedName name="BEx3NFJ7AEGQPC1L8HQ9OPJ6HJVG" hidden="1">Addn [20]Info!$B$209:$T$215</definedName>
    <definedName name="BEx3O5R5RBVLXHLE9AEKHF7TPET5" hidden="1">#REF!</definedName>
    <definedName name="BEx3O9Y9QHE201PEADOXXL01T8B9" hidden="1">SCG Func [22]Area!$D$10:$E$10</definedName>
    <definedName name="BEx3OJ3EWCV3784K3YFC4RASIOGF" hidden="1">Functional [21]Costs!$B$7:$C$7</definedName>
    <definedName name="BEx3OXMM1O9DHZBX8KCTCAFXL35R" hidden="1">Addn [20]Info!$B$79:$T$101</definedName>
    <definedName name="BEx3P4YVTSBLV0SJS5A82ANHBVG4" hidden="1">#REF!</definedName>
    <definedName name="BEx3P9GQUDWNPS9CL9O88YIYTG2B" hidden="1">[0]!SDGE Func [22]Area!$A$11:$B$11</definedName>
    <definedName name="BEx3PUG0WDX3VMOW3YC9L7FA6795" hidden="1">#REF!</definedName>
    <definedName name="BEx3Q0FSCMFGDFRA18K779PC5SOU" hidden="1">SEU Driver [25]Cd!$D$6:$E$6</definedName>
    <definedName name="BEx3RK6IMVTK41YUUGFJYXS2R12V" hidden="1">Financial &amp; Non-[23]Financial!$B$8:$C$9</definedName>
    <definedName name="BEx3SF7B3E0AIY3RJREOCHFQ6ZOY" hidden="1">Functional [21]Costs!$B$31:$T$320</definedName>
    <definedName name="BEx3SOHSXK5I2AX8UQ1367PVN94C" hidden="1">#REF!</definedName>
    <definedName name="BEx3TD2DG6QMJ5IKJIUBGBZEPEPO" hidden="1">SEU Func Comm by [24]Driver!$A$7:$B$7</definedName>
    <definedName name="BEx3TLGJC8Q5WEWUNPCRP8YQCT4M" hidden="1">SEU Func Area by [24]Driver!$D$5:$E$5</definedName>
    <definedName name="BEx3TM242XQQHIQCIHLY63VDLGQ0" hidden="1">SEU Func [22]Area!$A$20:$B$20</definedName>
    <definedName name="BEx3TPT1WV6YQ4RGA0ZEFJ7WEOQQ" hidden="1">Addn [20]Info!$F$11:$F$12</definedName>
    <definedName name="BEx3UJ0Y0EKCX55B0WAD89K1I9A2" hidden="1">SEU Driver [25]Cd!$A$4:$B$4</definedName>
    <definedName name="BEx5793NUDQFE11HUM4WTJY9IFKN" hidden="1">Addn [20]Info!$B$13:$T$26</definedName>
    <definedName name="BEx58N01LLZ8ZKB5V5P7UG5JZLSX" hidden="1">Addn [20]Info!$B$27:$T$38</definedName>
    <definedName name="BEx59250F3FSWLBU1PX6J51NGMF2" hidden="1">Addn [20]Info!$B$3</definedName>
    <definedName name="BEx5931D0OK7253V4DKCZOJQ7CF6" hidden="1">Financial &amp; Non-[23]Financial!$G$11:$G$12</definedName>
    <definedName name="BEx59BA1716EYX5N0PFQ93LXY7R1" hidden="1">Addn [20]Info!$B$27:$T$38</definedName>
    <definedName name="BEx59DOBKH8VQ98XK7SNHA8B047T" hidden="1">Addn [20]Info!$G$11:$G$12</definedName>
    <definedName name="BEx59EQ7A4HVKPNS0I2HIPB8NOKJ" hidden="1">[0]!SDGE Func [22]Area!$D$4:$E$4</definedName>
    <definedName name="BEx59JYWXN9L4GE0O40TJIRHE8P3" hidden="1">SEU Func [22]Area!$D$14:$E$14</definedName>
    <definedName name="BEx59Y216NXUJ0GAPO3YO3VAVU7Y" hidden="1">Financial &amp; Non-[23]Financial!$B$8:$C$9</definedName>
    <definedName name="BEx5B9K3B02PJMMXXC4SKP6NO2CI" hidden="1">Addn [20]Info!$B$7:$C$7</definedName>
    <definedName name="BEx5BDAX4V28AHZW9HVCC9TEMJW6" hidden="1">#REF!</definedName>
    <definedName name="BEx5BIUKY4Q3KD7JK9A78SJHIT4S" hidden="1">#REF!</definedName>
    <definedName name="BEx5BSVY0ZJU5LWHW14G30FZ7WNT" hidden="1">Addn [20]Info!$B$209:$T$215</definedName>
    <definedName name="BEx5C9THJ886U0S3S65HH25DA6L5" hidden="1">Addn [20]Info!$B$14:$T$27</definedName>
    <definedName name="BEx5CU1WA73BOAX4HZBTE4D3COW6" hidden="1">Addn [20]Info!$B$217:$T$225</definedName>
    <definedName name="BEx5D9C4Z9LRXWV58SC94GBRMFS4" hidden="1">SEU Func [22]Area!$A$28:$B$28</definedName>
    <definedName name="BEx5DQV9BM9CHGYMW87AFZOP9S9B" hidden="1">Addn [20]Info!$B$99:$AF$105</definedName>
    <definedName name="BEx5DXGLRIFRGETUGZDVNCCYOHKD" hidden="1">Financial &amp; Non-[23]Financial!$B$110:$Q$133</definedName>
    <definedName name="BEx5DXWQFTJFHRMSE4FWPHTKLTIE" hidden="1">SEU Func [22]Area!$D$21:$E$21</definedName>
    <definedName name="BEx5E7COVKY842P1212KOBRHK4DE" hidden="1">SEU Func [22]Area!$A$4:$B$4</definedName>
    <definedName name="BEx5EB8XUYYLCXPJ8V9C1FHYJ0T8" hidden="1">[0]!SDGE Func [22]Area!$A$4:$B$4</definedName>
    <definedName name="BEx5EDY0WYS351CC34O3AXLT11TX" hidden="1">SEU Func Area by [24]Driver!$D$8:$E$8</definedName>
    <definedName name="BEx5EN8J7513PCBQXOTXOOM8Y8MZ" hidden="1">Addn [20]Info!$B$3</definedName>
    <definedName name="BEx5EXQ67TILJNNHBN4C5BJGDT2H" hidden="1">#REF!</definedName>
    <definedName name="BEx5F7GQQLV72KNSTYT1DT4534TY" hidden="1">SEU Func [22]Area!$D$23:$E$23</definedName>
    <definedName name="BEx5F9PR9BI8ZTQCHZVT9MSMKIGL" hidden="1">SEU Driver [25]Cd!$A$1:$A$1</definedName>
    <definedName name="BEx5F9V2SND4PHG740J2N3F13YXZ" hidden="1">Addn [20]Info!$B$38:$T$71</definedName>
    <definedName name="BEx5FLJVHRG42QI195ANYO5RJEOE" hidden="1">Addn [20]Info!$B$38:$T$71</definedName>
    <definedName name="BEx5G26LL7JG28WLELU77NB94D24" hidden="1">SCG Func [22]Area!$A$1:$A$1</definedName>
    <definedName name="BEx5G3U1F5AV1D9DLRNKT33F8PWY" hidden="1">#REF!</definedName>
    <definedName name="BEx5G98A5G4DVMI1IHKJZL8ND4SW" hidden="1">SEU Func Area by [24]Driver!$D$11:$E$11</definedName>
    <definedName name="BEx5GI7TBQH1IAHOJZEVZ991ZJ52" hidden="1">Financial &amp; Non-[23]Financial!$B$110:$P$133</definedName>
    <definedName name="BEx5H0NECIJJL39PTFDGTA8QX80R" hidden="1">SEU Func [22]Area!$A$14:$B$14</definedName>
    <definedName name="BEx5H3CIHK23F0WPY14ZVTSVWBAZ" hidden="1">Addn [20]Info!$B$71:$T$78</definedName>
    <definedName name="BEx5H5W59HFH8HXCBHJBY5UPH7F4" hidden="1">SEU Func [22]Area!$A$23:$B$23</definedName>
    <definedName name="BEx5HV2GH2NKG2ZMBKOBBJNFI428" hidden="1">Functional [21]Costs!$B$7:$C$7</definedName>
    <definedName name="BEx5HYINOA160CH9GI3QOUK508N2" hidden="1">[0]!SDGE Func [22]Area!$A$7:$B$7</definedName>
    <definedName name="BEx5JAX4AOZH9O950U7GVQJFTIZ6" hidden="1">SEU Func [22]Area!$D$28:$E$28</definedName>
    <definedName name="BEx5JUEFFFWCNP5ECB9KK9FN8XU6" hidden="1">Financial &amp; Non-[23]Financial!$B$178:$P$226</definedName>
    <definedName name="BEx5JXUFOJ8QL1O4OV01U73K97XN" hidden="1">Functional [21]Costs!$B$7:$C$7</definedName>
    <definedName name="BEx5K9DRXLRKAIGVBD5ZA5VX98K8" hidden="1">SEU Func [22]Area!$D$19:$E$19</definedName>
    <definedName name="BEx5KBS25AF4Y2ZDIIANYJ4A7O9D" hidden="1">Addn [20]Info!$B$39:$T$72</definedName>
    <definedName name="BEx5KBS2YIR4PFJ5IOP3TFWY2PPX" hidden="1">Functional [21]Costs!$F$10:$F$11</definedName>
    <definedName name="BEx5KCOEOJ2CEGE7RRL3BY5L9FNN" hidden="1">Financial &amp; Non-[23]Financial!$B$14:$P$108</definedName>
    <definedName name="BEx5KDKSPYR1TLV0X9KORPRO1TQF" hidden="1">SEU Driver by Func [26]Comm!$A$15:$B$15</definedName>
    <definedName name="BEx5KV9DMMK99WN0JMGJ25NAV4UE" hidden="1">SEU Driver [25]Cd!$A$10:$B$10</definedName>
    <definedName name="BEx5L2LUQAKQCZVHOCD9ZBZYYS4B" hidden="1">#REF!</definedName>
    <definedName name="BEx5LC73IA7G6DRD2JU2BP27482T" hidden="1">SEU Func [22]Area!$A$12:$B$12</definedName>
    <definedName name="BEx5LG37VMLUGZYZ8Z96WYEWHYEH" hidden="1">Addn [20]Info!$B$39:$T$72</definedName>
    <definedName name="BEx5LYTLLDSL43P8M6Q9VD7IRKT4" hidden="1">Addn [20]Info!$B$8:$C$9</definedName>
    <definedName name="BEx5LZPZQ0Q3M0HD4JMAQUTI58KJ" hidden="1">Functional [21]Costs!$B$4:$B$5</definedName>
    <definedName name="BEx5MA26EHX7VNGSNNAZ0KZMX02D" hidden="1">SEU Func [22]Area!$D$22:$E$22</definedName>
    <definedName name="BEx5MD7IFYQJG8DF8PBO3RALXN2V" hidden="1">Addn [20]Info!$B$78:$T$100</definedName>
    <definedName name="BEx5MNUHM5YPFC1YNX13K7M2LD9F" hidden="1">SEU Driver [25]Cd!$A$4:$B$4</definedName>
    <definedName name="BEx5MW8LCJWSC3TFMS4W8AI5J8VG" hidden="1">SEU Func Comm by [24]Driver!$D$12:$E$12</definedName>
    <definedName name="BEx5NK2ADYL3ELV1XHFPFOV8W42D" hidden="1">[0]!SDGE Func [22]Area!$D$13:$E$13</definedName>
    <definedName name="BEx5OAL3NTNMHU9ERQOWTX8NTMX9" hidden="1">#REF!</definedName>
    <definedName name="BEx5OF2X01GCRGDKH63EW0B09RRJ" hidden="1">Financial &amp; Non-[23]Financial!$B$229:$P$233</definedName>
    <definedName name="BEx5PS8FN2D4DOX6U1J943CZH0LU" hidden="1">Functional [21]Costs!$B$4:$B$5</definedName>
    <definedName name="BEx5QQEG5M04N5YQ20UR10EWJ6M3" hidden="1">Addn [20]Info!$B$13:$T$26</definedName>
    <definedName name="BEx73WIB65EZVKX73XD21IFUO36J" hidden="1">Financial &amp; Non-[23]Financial!$B$8:$C$9</definedName>
    <definedName name="BEx746P6H9UJ8T9MTNG7C73YSGFU" hidden="1">Addn [20]Info!$G$10:$G$13</definedName>
    <definedName name="BEx74GAFRM21NBATRNLD7FWS1OXY" hidden="1">Functional [21]Costs!$B$11:$E$13</definedName>
    <definedName name="BEx74VVIHGE8RWIOQN9SZZ487OOC" hidden="1">Functional [21]Costs!$B$31:$T$320</definedName>
    <definedName name="BEx74XDH3TPR8GXY3PNUOMP3VX2A" hidden="1">Addn [20]Info!$B$39:$T$72</definedName>
    <definedName name="BEx7520NAQMR076UI9WUPELXOTH2" hidden="1">SCG Func [22]Area!$A$4:$B$4</definedName>
    <definedName name="BEx75V36DE3VP1AMI1RXXUV87029" hidden="1">Addn [20]Info!$B$39:$T$72</definedName>
    <definedName name="BEx75V8OC9Q4YQQOLAJT6UDQDZ2N" hidden="1">#REF!</definedName>
    <definedName name="BEx75X6R04A1CL2MWVAAB055B3P9" hidden="1">Functional [21]Costs!$B$14:$AC$317</definedName>
    <definedName name="BEx75XXSXBCP9KU62O05Y9Z5ACWM" hidden="1">#REF!</definedName>
    <definedName name="BEx761DRPA25R4PZH61K2NGXMK2U" hidden="1">SEU Func Comm by [24]Driver!$D$11:$E$11</definedName>
    <definedName name="BEx768Q7WXW37TL98VE3X80MYAOT" hidden="1">[0]!SDGE Func [22]Area!$A$6:$B$6</definedName>
    <definedName name="BEx769MLSTUCGG15G1X2OEJ4ZQH7" hidden="1">SEU Func [22]Area!$D$13:$E$13</definedName>
    <definedName name="BEx76BKMRV8NL1SQ6S37CNF7ETPJ" hidden="1">Addn [20]Info!$B$39:$T$72</definedName>
    <definedName name="BEx76EQ049XAKGG9W866LOKTIJKO" hidden="1">#REF!</definedName>
    <definedName name="BEx76LGP7TRCIGQR1FZ1B4G223M5" hidden="1">#REF!</definedName>
    <definedName name="BEx76RR9E3UKJ375VSBT7ZQNMEB4" hidden="1">Financial &amp; Non-[23]Financial!$B$135:$P$183</definedName>
    <definedName name="BEx771Y54SZNEMLLKKVM69Q2UXPW" hidden="1">Addn [20]Info!$B$27:$T$38</definedName>
    <definedName name="BEx77SRQQMO7ZX0ZJB9V7V67BBY8" hidden="1">#REF!</definedName>
    <definedName name="BEx787LVO91DZ12YLLQPAV8OMYJ8" hidden="1">Financial &amp; Non-[23]Financial!$G$11:$G$12</definedName>
    <definedName name="BEx78ESP6PYY9PRKG7N8I1062CBG" hidden="1">Financial &amp; Non-[23]Financial!$B$7:$C$9</definedName>
    <definedName name="BEx78JAKA3FRA112WDVJR5P2M06F" hidden="1">SEU Func Comm by [24]Driver!$A$11:$B$11</definedName>
    <definedName name="BEx79BGQJWM5HK7GBU4QCZQIGMJA" hidden="1">Addn [20]Info!$B$73:$T$80</definedName>
    <definedName name="BEx79NLSWDY80RZ83IBSPPWC1LRP" hidden="1">Addn [20]Info!$B$8:$C$9</definedName>
    <definedName name="BEx7AG85P2UCLBZH785AVALZ8NO2" hidden="1">Addn [20]Info!$B$71:$T$78</definedName>
    <definedName name="BEx7BUKMRJIJ2T3VLPHVCGFYB91N" hidden="1">Addn [20]Info!$B$13:$T$26</definedName>
    <definedName name="BEx7CD5LQHPU9ZD6Q6VGX42EG18N" hidden="1">#REF!</definedName>
    <definedName name="BEx7CSQONL7R3J1DFL1RBZ2UB4CJ" hidden="1">Addn [20]Info!$B$3</definedName>
    <definedName name="BEx7D9DFIZJHQGFY7GA9YYUA9ND5" hidden="1">Financial &amp; Non-[23]Financial!$B$8:$C$9</definedName>
    <definedName name="BEx7DB642H67MNJ2PZ1ACGYUMYX0" hidden="1">#REF!</definedName>
    <definedName name="BEx7DWG6RQW0D28OD9I5XKJYFDLX" hidden="1">SEU Func [22]Area!$A$19:$B$19</definedName>
    <definedName name="BEx7E3SN5T57Z84MWEWGPL56BVYQ" hidden="1">Functional [21]Costs!$B$14:$U$317</definedName>
    <definedName name="BEx7E8QL4MLEWB3YUM4BI27WYSG4" hidden="1">Addn [20]Info!$B$13:$T$26</definedName>
    <definedName name="BEx7F1YHNQP67YWOA22R2460OG8Q" hidden="1">#REF!</definedName>
    <definedName name="BEx7FGHPIVIRMUKXHH1IIO8C39WM" hidden="1">SCG Func [22]Area!$A$14:$B$14</definedName>
    <definedName name="BEx7FK3D2PKAX7A5OS0M3EPATLK3" hidden="1">Addn [20]Info!$B$4:$B$5</definedName>
    <definedName name="BEx7FX4LXTGXH0S5WO63H5V8973A" hidden="1">Addn [20]Info!$B$212:$T$215</definedName>
    <definedName name="BEx7G09THIAHGVV4C6W739GLIL6F" hidden="1">SEU Driver [25]Cd!$D$13:$E$13</definedName>
    <definedName name="BEx7G1X3E168X1WSXE3IYQD39CSH" hidden="1">Functional [21]Costs!$B$8:$C$9</definedName>
    <definedName name="BEx7G5D8R3DAHH327NHVIRW1M1A6" hidden="1">SEU Driver by Func [26]Comm!$A$3:$B$3</definedName>
    <definedName name="BEx7GC43Z3IT632VJ04YICAVP2PC" hidden="1">Functional [21]Costs!$G$11:$G$12</definedName>
    <definedName name="BEx7GD5SMD4HYABHIF7TA7NL06BF" hidden="1">Addn [20]Info!$B$11:$E$13</definedName>
    <definedName name="BEx7GNNEKMZ2TVCGR1CBK6H4CY70" hidden="1">SEU Driver by Func [26]Comm!$A$10:$B$10</definedName>
    <definedName name="BEx7GWSFCD13I3QC1N2NFFKY062P" hidden="1">Functional [21]Costs!$B$11:$D$11</definedName>
    <definedName name="BEx7H5XL7MLM8ZG6E12EKRMNYRXA" hidden="1">Addn [20]Info!$B$4:$B$5</definedName>
    <definedName name="BEx7H86FAD3PJYLGZL1U0HWZBU77" hidden="1">SEU Driver [25]Cd!$A$3:$B$3</definedName>
    <definedName name="BEx7HNGQN8KJWL6B1O2RWR1I8XCR" hidden="1">Functional [21]Costs!$B$14</definedName>
    <definedName name="BEx7I7ZOS5D5E9WZ6L4BOE2F3DY2" hidden="1">SEU Func [22]Area!$D$11:$E$11</definedName>
    <definedName name="BEx7IA8PT7MFJWXGVCJFRY106ATL" hidden="1">SEU Func [22]Area!$A$24:$B$24</definedName>
    <definedName name="BEx7IQKN2RWFXIJJQC1M3HN91456" hidden="1">SEU Driver by Func [26]Comm!$A$19:$A$20</definedName>
    <definedName name="BEx7IYTADRCEGWHWTPP3TX68M7RE" hidden="1">Addn [20]Info!$B$8:$C$9</definedName>
    <definedName name="BEx7IYTI2BVB47X6UKCDS3S6S8M2" hidden="1">Financial &amp; Non-[23]Financial!$F$11:$F$12</definedName>
    <definedName name="BEx7JA7HO64PE6BSEFDQAYG2DV2M" hidden="1">SEU Driver [25]Cd!$D$4:$E$4</definedName>
    <definedName name="BEx7JN8QP1FGPG1PXW02J1OO9FTN" hidden="1">SCG Func [22]Area!$D$8:$E$8</definedName>
    <definedName name="BEx7K7GY8XLOVRC3OHHBZ1TX6TMR" hidden="1">Addn [20]Info!$B$14</definedName>
    <definedName name="BEx7KGM4CB247DEMSOCLKY4D5TBL" hidden="1">#REF!</definedName>
    <definedName name="BEx7KJRBH9UOHHJDI99HVR8V9R0K" hidden="1">#REF!</definedName>
    <definedName name="BEx7KPGBNYFR4LHWGEPF89JL73WI" hidden="1">Addn [20]Info!$B$3</definedName>
    <definedName name="BEx7KYQUG9K5VGBRVMEF5XXB6I7D" hidden="1">Addn [20]Info!$B$100:$T$208</definedName>
    <definedName name="BEx7LBHATV73G9G8EYC25A1GZPM7" hidden="1">Financial &amp; Non-[23]Financial!$B$14:$P$108</definedName>
    <definedName name="BEx7MCN6WJYIADN53L1N60G4M3U9" hidden="1">#REF!</definedName>
    <definedName name="BEx7NJ7BROENWNOB9DYNAZDMO381" hidden="1">Functional [21]Costs!$B$4:$B$5</definedName>
    <definedName name="BEx8ZNEEKMIGOZI4AEQOFKR48OX7" hidden="1">Addn [20]Info!$B$13:$T$26</definedName>
    <definedName name="BEx906FH0CTZE3CU0DQWH3H4ZC4P" hidden="1">SEU Func [22]Area!$D$3:$E$3</definedName>
    <definedName name="BEx9193BXQJVD64QF1Y7916CR3VZ" hidden="1">SEU Driver by Func [26]Comm!$A$9:$B$9</definedName>
    <definedName name="BEx91IOLAF9Q374K05VA9813T42J" hidden="1">Functional [21]Costs!$G$10:$G$11</definedName>
    <definedName name="BEx91MVNJP7UR6PVBG9O9JNNLL2S" hidden="1">Addn [20]Info!$B$212:$T$218</definedName>
    <definedName name="BEx91NS16U93E9MPG050VOPE1B5V" hidden="1">Addn [20]Info!$B$11:$D$11</definedName>
    <definedName name="BEx91WRP8CJ9NVHOVO3KK1CSEY3A" hidden="1">#REF!</definedName>
    <definedName name="BEx92JP6NFWRWOQOM9LV0ZGH6UII" hidden="1">[0]!SDGE Func [22]Area!$D$6:$E$6</definedName>
    <definedName name="BEx92LY2W9T7IMRAJ6GVSJOYGXKX" hidden="1">Addn [20]Info!$B$102:$T$211</definedName>
    <definedName name="BEx92VU31VCK7JA4H3D7UN9TXSLT" hidden="1">SEU Driver by Func [26]Comm!$D$4:$E$4</definedName>
    <definedName name="BEx937O89Y1D1SATU4ZSG51U1NQG" hidden="1">#REF!</definedName>
    <definedName name="BEx939RQZR5P0TIF9I3BMR6SR6Z8" hidden="1">Addn [20]Info!$G$11:$G$12</definedName>
    <definedName name="BEx93C61JLMSUFCCC969HXVOAV5U" hidden="1">Addn [20]Info!$B$3</definedName>
    <definedName name="BEx93P7HZ849NJYP2FN3FVKLD1ZJ" hidden="1">#REF!</definedName>
    <definedName name="BEx93WUJ8SBBPMQO3GR8OPSWFZA4" hidden="1">Functional [21]Costs!$B$4:$B$5</definedName>
    <definedName name="BEx94SBGT6E7UM98ZRUU1UD0X2V9" hidden="1">SCG Func [22]Area!$A$6:$B$6</definedName>
    <definedName name="BEx94YRCDNZCTCP3C1U048E2SHCV" hidden="1">#REF!</definedName>
    <definedName name="BEx95E6X1N492AUIEIQ1IXXTNYO0" hidden="1">SEU Func [22]Area!$D$21:$E$21</definedName>
    <definedName name="BEx95GW2VHSR2AQCIZELG33FDA8H" hidden="1">Addn [20]Info!$B$13:$T$26</definedName>
    <definedName name="BEx95JVY865JGQH3BGYILSOT7KIT" hidden="1">SEU Driver [25]Cd!$A$16:$B$16</definedName>
    <definedName name="BEx95RTS6PHEQTQLZVX7ZLJEZ2EC" hidden="1">SEU Func [22]Area!$A$11:$B$11</definedName>
    <definedName name="BEx96FYFAVILQ8VYSE72BM2KXQHS" hidden="1">Functional [21]Costs!$B$7:$C$7</definedName>
    <definedName name="BEx96KLL02U9UGG9BE084W1T06AP" hidden="1">Functional [21]Costs!$B$8:$C$9</definedName>
    <definedName name="BEx96PED6KVTVBCA3YI15OONN1VC" hidden="1">Functional [21]Costs!$B$25:$T$314</definedName>
    <definedName name="BEx970MWXAD0OKZXP8P821WJ2SQ5" hidden="1">Addn [20]Info!$B$212:$T$218</definedName>
    <definedName name="BEx971U2C4AAQ6GJB4FOAMCR7NZB" hidden="1">Financial &amp; Non-[23]Financial!$B$11:$E$12</definedName>
    <definedName name="BEx980WB7NBY9MBNN1VDHUAOOEN4" hidden="1">#REF!</definedName>
    <definedName name="BEx98DC7540CFIHHCBRDYER6N969" hidden="1">SEU Driver by Func [26]Comm!$D$12:$E$12</definedName>
    <definedName name="BEx98E3186U1CAC5ZCGORYSPBW55" hidden="1">SCG Func [22]Area!$A$10:$B$10</definedName>
    <definedName name="BEx98P6A568OSQJKJ16MGMHFWQAJ" hidden="1">Addn [20]Info!$B$11:$E$13</definedName>
    <definedName name="BEx98UPYWSKR968JQDKEOQJTFEN3" hidden="1">Addn [20]Info!$B$212:$T$218</definedName>
    <definedName name="BEx99WS3MA5AE74HPBKZM9EI6J2H" hidden="1">Functional [21]Costs!$B$11:$E$13</definedName>
    <definedName name="BEx9A3TPSYIC5VV8BM8QF9YA6HKL" hidden="1">Addn [20]Info!$B$4:$B$5</definedName>
    <definedName name="BEx9AB0O7AFRBN0DS6X3G5XATV0F" hidden="1">Addn [20]Info!$B$27:$T$38</definedName>
    <definedName name="BEx9BKKJ3V7FT0YYP901CO1J9PK2" hidden="1">Addn [20]Info!$B$13:$T$26</definedName>
    <definedName name="BEx9BNKFPZNHOBUFKJXSEZ45UCNX" hidden="1">Addn [20]Info!$B$27:$T$38</definedName>
    <definedName name="BEx9BO0OF08DI95D48HIA4FNEAQ2" hidden="1">SCG Func [22]Area!$A$19:$A$20</definedName>
    <definedName name="BEx9BYSZKJE7X0DZO9IBYA390EXN" hidden="1">Addn [20]Info!$B$4:$B$5</definedName>
    <definedName name="BEx9C3WJQMGW0R7CUVA07P3TX1SN" hidden="1">SEU Func Comm by [24]Driver!$D$9:$E$9</definedName>
    <definedName name="BEx9CMHBVIKQKWB05U715K3OYE5N" hidden="1">Addn [20]Info!$B$102:$T$211</definedName>
    <definedName name="BEx9CPBY3A014VDO5NC8CZH6A1ND" hidden="1">SEU Func [22]Area!$A$18:$B$18</definedName>
    <definedName name="BEx9D4RIB90NHVB2YZNHPU1W05Q4" hidden="1">Addn [20]Info!$B$79:$T$101</definedName>
    <definedName name="BEx9D5D3ORZ8H4FK3XMG4BUSRDF3" hidden="1">SEU Func [22]Area!$A$1:$A$1</definedName>
    <definedName name="BEx9DCUTUL3BE617O4SMJRVU2L0S" hidden="1">Functional [21]Costs!$B$4:$B$5</definedName>
    <definedName name="BEx9DI91MBI8Y7KKG4TYD7GK0OO3" hidden="1">Addn [20]Info!$B$78:$T$100</definedName>
    <definedName name="BEx9DPQSEJ56DZCPF3OY3GWEMEHS" hidden="1">[0]!SDGE Func [22]Area!$A$10:$B$10</definedName>
    <definedName name="BEx9E8H2OWZQ45XRM27VACOL31OU" hidden="1">Addn [20]Info!$B$71:$T$78</definedName>
    <definedName name="BEx9EBX1BZ0PL195G5AESVWY096V" hidden="1">SEU Func Area by [24]Driver!$A$7:$B$7</definedName>
    <definedName name="BEx9EFTH7ZBJ5N1CAQI38H8WNFW3" hidden="1">Addn [20]Info!$B$73:$T$80</definedName>
    <definedName name="BEx9EK5VLPKF9XVYLA8L5M0VFA4J" hidden="1">Addn [20]Info!$B$38:$T$71</definedName>
    <definedName name="BEx9ERI925K9PH2Z2PB4I9EX8QF3" hidden="1">#REF!</definedName>
    <definedName name="BEx9ET5JSJVBRWYIE1INNJ7SGTCC" hidden="1">Functional [21]Costs!$B$8:$C$9</definedName>
    <definedName name="BEx9EWG8HOBAXEVNI9PTPOTVPJ6O" hidden="1">Addn [20]Info!$B$39:$T$72</definedName>
    <definedName name="BEx9F2FZK97W302TB1PE6SLT2W8P" hidden="1">SEU Driver by Func [22]Area!$A$10:$B$10</definedName>
    <definedName name="BEx9F3N6P6EMZ3CI82RIVDKI8UYJ" hidden="1">Addn [20]Info!$B$14</definedName>
    <definedName name="BEx9F5QQ16E2AYXJFWMSOB65PQQD" hidden="1">#REF!</definedName>
    <definedName name="BEx9FEA49CAL0U75VSCJZGNERORM" hidden="1">SEU Func [22]Area!$D$26:$E$26</definedName>
    <definedName name="BEx9FEA5G88VPTUBP7INZOU42U47" hidden="1">Addn [20]Info!$B$217:$T$225</definedName>
    <definedName name="BEx9FZ3XLP4NW4ALG6YLL87UDWN5" hidden="1">#REF!</definedName>
    <definedName name="BEx9GA1T1D6OO1LJLL4M23ZQ4YZQ" hidden="1">Addn [20]Info!$B$27:$T$38</definedName>
    <definedName name="BEx9GBEC3P5Y01WYIGKVJSG7XI43" hidden="1">[0]!SDGE Func [22]Area!$A$14:$B$14</definedName>
    <definedName name="BEx9GKJHEHAXU8NPOK41VWZLKJHS" hidden="1">Addn [20]Info!$B$7:$C$7</definedName>
    <definedName name="BEx9H7GTDG0K270VC8KIQPAZ4Y1Y" hidden="1">Functional [21]Costs!$F$11:$F$12</definedName>
    <definedName name="BEx9H9F15H3PH7ZYTKUA946W25IF" hidden="1">Addn [20]Info!$B$209:$T$215</definedName>
    <definedName name="BEx9HMLS4KZDOM68X06UUH8EVM99" hidden="1">SEU Func [22]Area!$D$7:$E$7</definedName>
    <definedName name="BEx9I0JFAIJY2OQ5GGLQIBX2SOHB" hidden="1">Addn [20]Info!$B$73:$T$80</definedName>
    <definedName name="BEx9IIDAOIWYAR4176TWG0DUP0GC" hidden="1">Addn [20]Info!$B$7:$C$7</definedName>
    <definedName name="BEx9IM9JB41V6TQ5P1QZV0H9VVUQ" hidden="1">Addn [20]Info!$B$13:$T$26</definedName>
    <definedName name="BEx9IO2AQXVT9EE1WFNZY4RMZA5L" hidden="1">SEU Driver by Func [26]Comm!$D$6:$E$6</definedName>
    <definedName name="BEx9IW5MPMXZH6A45GHP65AIU5EC" hidden="1">SEU Func [22]Area!$A$6:$B$6</definedName>
    <definedName name="BEx9JE4Z63EP3IGA8SSLS32MQ9IT" hidden="1">Functional [21]Costs!$B$3</definedName>
    <definedName name="BEx9JGJB4AO5A49KA8HTRU4Y918P" hidden="1">Addn [20]Info!$B$212:$T$218</definedName>
    <definedName name="BExAW9LX762OLWCG971X5UJG9BTI" hidden="1">SEU Driver [25]Cd!$A$14:$B$14</definedName>
    <definedName name="BExAWRW398WOEUXSG9OKLKRUHBUJ" hidden="1">SCG Func [22]Area!$A$10:$B$10</definedName>
    <definedName name="BExAWWOQP0AIVB5SQ8ABBSZ73REK" hidden="1">Functional [21]Costs!$B$8:$C$9</definedName>
    <definedName name="BExAX3FFIBEYOD1VMORTDGV6CT6V" hidden="1">Addn [20]Info!$B$7:$C$7</definedName>
    <definedName name="BExAX8Z4B7UP4MPIDL4N5UVE5X3A" hidden="1">Financial &amp; Non-[23]Financial!$B$135:$P$183</definedName>
    <definedName name="BExAXXJTKDDLRRG0YNJZ27IIY0CH" hidden="1">Addn [20]Info!$B$102:$T$211</definedName>
    <definedName name="BExAY1W8CE9P3MQIAPX8VJEG5NVW" hidden="1">#REF!</definedName>
    <definedName name="BExAYAFTOFMR1YIYU7IUFOYRNV62" hidden="1">Addn [20]Info!$B$100:$T$208</definedName>
    <definedName name="BExAYMVHP7W93W3JTZL9H6BYQM61" hidden="1">Addn [20]Info!$B$13:$T$26</definedName>
    <definedName name="BExAYPVEB4OPFNAISBTOWTRBP8VX" hidden="1">[0]!SDGE Func [22]Area!$A$5:$B$5</definedName>
    <definedName name="BExB03RSQON10JAWO2328LAW1MKE" hidden="1">SEU Func [22]Area!$D$6:$E$6</definedName>
    <definedName name="BExB072HB427FBTZFTA92PWX0YQ9" hidden="1">Addn [20]Info!$B$27:$T$38</definedName>
    <definedName name="BExB0CRHCO9ULDDSTT7DMTT05RT9" hidden="1">Addn [20]Info!$B$79:$T$101</definedName>
    <definedName name="BExB0GIADY00FT7NXSNF175LJJ3Y" hidden="1">Addn [20]Info!$B$212:$T$215</definedName>
    <definedName name="BExB0LGCWVXLFI71FVWXDKJA49PH" hidden="1">Addn [20]Info!$B$71:$T$78</definedName>
    <definedName name="BExB0WOWQSN1F679LTDEFHU5W26B" hidden="1">Addn [20]Info!$B$27:$T$38</definedName>
    <definedName name="BExB19KVAYD32NCCJV4ZP4JXKH5S" hidden="1">#REF!</definedName>
    <definedName name="BExB1EIYLMVJLP7TLE2RF39QS0MX" hidden="1">#REF!</definedName>
    <definedName name="BExB1EO9KWOLKJHCPTWLRRDESP7G" hidden="1">Addn [20]Info!$B$8:$C$9</definedName>
    <definedName name="BExB1GRT8047FU91FKXXPPVBWVY4" hidden="1">SEU Func Area by [24]Driver!$D$12:$E$12</definedName>
    <definedName name="BExB1LKGYUXV7YND54V03Z7PCFWG" hidden="1">SEU Func Comm by [24]Driver!$D$4:$E$4</definedName>
    <definedName name="BExB1VB0MPHLR3SDA5NV6NV1X49C" hidden="1">SEU Driver [25]Cd!$A$11:$B$11</definedName>
    <definedName name="BExB2AQT03UGIOC6S1HS02YS0OIN" hidden="1">SCG Func [22]Area!$D$9:$E$9</definedName>
    <definedName name="BExB2K6JX9SZWRWTCTUMT8KMDHOD" hidden="1">SEU Func Comm by [24]Driver!$D$3:$E$3</definedName>
    <definedName name="BExB30O0S6EO45SFV1QSN1Q24LOL" hidden="1">#REF!</definedName>
    <definedName name="BExB30TB59C8G4EC0WEJUHQ4VA39" hidden="1">Addn [20]Info!$B$212:$T$215</definedName>
    <definedName name="BExB3EWF1OUNCEWXWPL6HTD45R2Q" hidden="1">Financial &amp; Non-[23]Financial!$B$14:$P$108</definedName>
    <definedName name="BExB3QL8Q7ZK705KJACMI750B1JO" hidden="1">Addn [20]Info!$B$217:$T$225</definedName>
    <definedName name="BExB3XS637O5LMK5N78CTI3Z0Z5B" hidden="1">#REF!</definedName>
    <definedName name="BExB43MOHQGG9F0TAVNR9GV4HDUC" hidden="1">Addn [20]Info!$B$209:$T$215</definedName>
    <definedName name="BExB49GYU15TD74UV4AOHN1UDRXT" hidden="1">SEU Func Area by [24]Driver!$D$10:$E$10</definedName>
    <definedName name="BExB5C4TYO1CLQBIZ1ZKBB9LUBUJ" hidden="1">Functional [21]Costs!$B$8:$C$9</definedName>
    <definedName name="BExB5DS47CSMB5M7U57GGRRL6RAI" hidden="1">Addn [20]Info!$G$11:$G$12</definedName>
    <definedName name="BExB5GRZ48PZ0X03WTTZUHM5V6N7" hidden="1">[0]!SDGE Func [22]Area!$A$3:$B$3</definedName>
    <definedName name="BExB5HOC7YR7B7UZUQJFO3AMX3Z7" hidden="1">Addn [20]Info!$B$27:$T$38</definedName>
    <definedName name="BExB7JUQKW1TSF1EMURW4N49BPW8" hidden="1">SEU Func [22]Area!$D$4:$E$4</definedName>
    <definedName name="BExB7XSCGB3ICZZXK5GGNRCZGO1R" hidden="1">Functional [21]Costs!$B$7:$C$7</definedName>
    <definedName name="BExB82KZZ20HGQ8ZWDI6NN7B7LP3" hidden="1">Addn [20]Info!$B$14:$U$153</definedName>
    <definedName name="BExB842YTBKTN3J0DAZ8G2FRLGZA" hidden="1">SCG Func [22]Area!$A$9:$B$9</definedName>
    <definedName name="BExB8A2R5KAW4ZHD9RTJG7XQBC9Z" hidden="1">SEU Driver by Func [22]Area!$A$12:$B$12</definedName>
    <definedName name="BExB9DSAVBYJB0UFO37L4UPOIA9D" hidden="1">Addn [20]Info!$B$27:$T$38</definedName>
    <definedName name="BExB9J6IXISS1DDVV1O9QAR83KUM" hidden="1">Addn [20]Info!$B$212:$T$215</definedName>
    <definedName name="BExBA09J0XCIK4F6DIN33HWB83VZ" hidden="1">Addn [20]Info!$B$4:$B$5</definedName>
    <definedName name="BExBBFD1NS7S1R4UT1X0FC1V0IE6" hidden="1">Financial &amp; Non-[23]Financial!$B$135:$P$183</definedName>
    <definedName name="BExBBW58Z0FWF8SYQVQCKPDQM4V5" hidden="1">#REF!</definedName>
    <definedName name="BExBC0N4KY5AUPHPSP2WYOPQ9BGK" hidden="1">#REF!</definedName>
    <definedName name="BExBC5AACPOLAFEHIH7A39NFVMS9" hidden="1">SEU Func Area by [24]Driver!$A$19:$A$20</definedName>
    <definedName name="BExBCC14R9T8Y5BCJ9J6RZ5LAR34" hidden="1">#REF!</definedName>
    <definedName name="BExBCQ49E5ROUT89A7DNPSC88TP2" hidden="1">SEU Func [22]Area!$D$28:$E$28</definedName>
    <definedName name="BExBCRGQSBNA9SIIV33OWZ9TT8EM" hidden="1">Financial &amp; Non-[23]Financial!$B$14:$P$108</definedName>
    <definedName name="BExBCS2AHW4TXTQK83WN29LWIRQK" hidden="1">[0]!SDGE Func [22]Area!$A$3:$B$3</definedName>
    <definedName name="BExBD7NBV33LLYYJZDPWE3JS4YO8" hidden="1">Addn [20]Info!$B$102:$T$211</definedName>
    <definedName name="BExBDGHLEQZH9D2HRC94XCSM8R21" hidden="1">Functional [21]Costs!$G$11:$G$12</definedName>
    <definedName name="BExCREBL0YXLWZKVEV40GLP86ISW" hidden="1">Addn [20]Info!$B$8:$C$9</definedName>
    <definedName name="BExCSEL4O1O7A8QTADPQK997R2GC" hidden="1">[0]!SDGE Func [22]Area!$D$13:$E$13</definedName>
    <definedName name="BExCSQKPT6AAP0PXNSIN8X33MNOQ" hidden="1">Addn [20]Info!$B$79:$T$101</definedName>
    <definedName name="BExCSWV9HBGHLCFOMS18O18TUB3A" hidden="1">Addn [20]Info!$B$209:$T$215</definedName>
    <definedName name="BExCTP6SO68GK895SG97OHJ44KJ9" hidden="1">Addn [20]Info!$B$73:$T$80</definedName>
    <definedName name="BExCUFV4VP0SIARZ6VFX4CSM3H9D" hidden="1">Functional [21]Costs!$F$11:$F$12</definedName>
    <definedName name="BExCUH2AJHJRFFT62RFBIXW1D2QI" hidden="1">Functional [21]Costs!$F$11:$F$12</definedName>
    <definedName name="BExCUNSYJS0MXZ5ET8GHRGF8KIY2" hidden="1">Functional [21]Costs!$B$8:$C$9</definedName>
    <definedName name="BExCUSWD0ZI62K3UGX4N1XN89Q1P" hidden="1">SEU Driver [25]Cd!$A$10:$B$10</definedName>
    <definedName name="BExCV03BCBUW893TW8JSQSFA881E" hidden="1">Functional [21]Costs!$B$14:$T$317</definedName>
    <definedName name="BExCVFTQ4HN27K1U27PC99JFSWWW" hidden="1">Functional [21]Costs!$B$7:$C$7</definedName>
    <definedName name="BExCWLHH3Q3G7ILX126X41OC9UWW" hidden="1">Functional [21]Costs!$B$8:$C$9</definedName>
    <definedName name="BExCX29OCTHXR81FOAIARU0P0X4X" hidden="1">[0]!SDGE Func [22]Area!$D$5:$E$5</definedName>
    <definedName name="BExCXCLUKV8FFGMN02TB06QN6BWG" hidden="1">SEU Func [22]Area!$D$4:$E$4</definedName>
    <definedName name="BExCXYC68R84SJWKHLGHSF3BTT7G" hidden="1">SEU Driver by Func [26]Comm!$A$1:$A$1</definedName>
    <definedName name="BExCY712YSE6GCWJ0AMT3HALNA4X" hidden="1">Functional [21]Costs!$B$11:$D$11</definedName>
    <definedName name="BExCYQCYE5YHOB1TKOHL6B3I27IT" hidden="1">Financial &amp; Non-[23]Financial!$B$7:$C$9</definedName>
    <definedName name="BExCYRPFE15L8X3EUVCJNH6I01D9" hidden="1">SEU Driver by Func [26]Comm!$A$8:$B$8</definedName>
    <definedName name="BExCYY5GHFAIPGDZ8HNTGSWV4KQL" hidden="1">SCG Func [22]Area!$D$13:$E$13</definedName>
    <definedName name="BExCZ5SJSLJTD4LETK6S52CEE8K5" hidden="1">SEU Driver by Func [22]Area!$A$14:$B$14</definedName>
    <definedName name="BExCZODGQ5EQME30RIBVIMU88981" hidden="1">Financial &amp; Non-[23]Financial!$G$11:$G$12</definedName>
    <definedName name="BExD049C027P55BCRTWO9K40MDXC" hidden="1">Financial &amp; Non-[23]Financial!$B$131:$P$154</definedName>
    <definedName name="BExD04PEPBEQQX4RZ6C0WVALBV9W" hidden="1">SEU Driver [25]Cd!$A$6:$B$6</definedName>
    <definedName name="BExD0P35ITFSLDJ85I2S2XLI9D02" hidden="1">Addn [20]Info!$B$79:$T$101</definedName>
    <definedName name="BExD1Z8Q7A8QEJBB3NBLBKV5UWDA" hidden="1">#REF!</definedName>
    <definedName name="BExD2054KGE1BMQV3F8E1TCXKD7K" hidden="1">Financial &amp; Non-[23]Financial!$B$14:$P$108</definedName>
    <definedName name="BExD24MZ6RCOIW4QM8EBYWBZ3FGX" hidden="1">Addn [20]Info!$B$73:$T$80</definedName>
    <definedName name="BExD2PGRAQFQR76TR4M84GCI9TOX" hidden="1">SEU Func Comm by [24]Driver!$D$13:$E$13</definedName>
    <definedName name="BExD345FLWTNWLN5919CGC69OXJS" hidden="1">Addn [20]Info!$B$3</definedName>
    <definedName name="BExD37LGJYVJFID61F08P9GB1FNV" hidden="1">SEU Func [22]Area!$A$10:$B$10</definedName>
    <definedName name="BExD3FOR9N7H6TPIKASJH6RB78Y8" hidden="1">SEU Driver [25]Cd!$D$10:$E$10</definedName>
    <definedName name="BExD3SVHOP1C3T2Z7DH6IBE3P843" hidden="1">SEU Func [22]Area!$A$27:$B$27</definedName>
    <definedName name="BExD4UXT6QYCDEFJ4TR5HLDLP5GS" hidden="1">#REF!</definedName>
    <definedName name="BExD50179NSGUGLLUHX045A1AR1I" hidden="1">SEU Func [22]Area!$D$25:$E$25</definedName>
    <definedName name="BExD5WUM2VOHW0PHHK7UU3C5G4KA" hidden="1">Addn [20]Info!$B$7:$C$7</definedName>
    <definedName name="BExD6L9V8D6IAI4B3RW8L9XB4E9U" hidden="1">Addn [20]Info!$B$39:$T$72</definedName>
    <definedName name="BExD6SM96QF45B1K8P5SYGG16HU7" hidden="1">Functional [21]Costs!$B$7:$C$7</definedName>
    <definedName name="BExD7ECGTP7A754YQVMXGZ6ODVJW" hidden="1">Addn [20]Info!$B$217:$T$225</definedName>
    <definedName name="BExD7MFRXGJ499ABP7FXYAGDBVBF" hidden="1">SEU Func Area by [24]Driver!$A$10:$B$10</definedName>
    <definedName name="BExD86TI39WBFO32YV2U8JXO98P4" hidden="1">SEU Func [22]Area!$A$14:$B$14</definedName>
    <definedName name="BExD948GWQCYXUUZQK0PIOEBV29S" hidden="1">Financial &amp; Non-[23]Financial!$B$11:$E$12</definedName>
    <definedName name="BExDC683UDAXPU8TJ720TDYW01P3" hidden="1">Addn [20]Info!$B$71:$T$78</definedName>
    <definedName name="BExDCS3PZTHRO9F13N38ECDVNS32" hidden="1">SCG Func [22]Area!$D$6:$E$6</definedName>
    <definedName name="BExEPN4D9U6D31SRSQ8GHI9K0EBT" hidden="1">Addn [20]Info!$B$3</definedName>
    <definedName name="BExEQ4I6HD9H5DM4DMM6GQ1EMDPK" hidden="1">SEU Func Comm by [24]Driver!$A$6:$B$6</definedName>
    <definedName name="BExEQPS9BRC55JZ9I5FYCQTKSEJN" hidden="1">SEU Func Area by [24]Driver!$D$6:$E$6</definedName>
    <definedName name="BExEQRVTCIBYGOUBKNVPTZHMXHFR" hidden="1">Addn [20]Info!$B$3</definedName>
    <definedName name="BExERDLXL02M3SL45RHTWJUPCGS8" hidden="1">#REF!</definedName>
    <definedName name="BExERK1VAXZE8JQU29QXCUMOI6E2" hidden="1">#REF!</definedName>
    <definedName name="BExERKYD3HHJGPFDI9EDNNVI2ALK" hidden="1">Addn [20]Info!$B$212:$T$215</definedName>
    <definedName name="BExES2HHMG8HMKDE7EJU3AC0I6BR" hidden="1">Financial &amp; Non-[23]Financial!$B$8:$C$9</definedName>
    <definedName name="BExES6U1HSYY1KIDIHTNW3J42ZHS" hidden="1">Financial &amp; Non-[23]Financial!$B$186:$P$190</definedName>
    <definedName name="BExESH0UL4KHBDSX39ZAEWSMHVQY" hidden="1">Addn [20]Info!$G$11:$G$12</definedName>
    <definedName name="BExESMV5WEZAC2GDCQ810LXIR0DY" hidden="1">SCG Func [22]Area!$A$12:$B$12</definedName>
    <definedName name="BExETF6PXKIF0BXNH3KRJ554Y0P6" hidden="1">SEU Func Area by [24]Driver!$A$9:$B$9</definedName>
    <definedName name="BExETT4JKBXWE85124PM89EQ4DRI" hidden="1">[0]!SDGE Func [22]Area!$D$9:$E$9</definedName>
    <definedName name="BExETWVC2ECF85WXYT8IOG6U8U18" hidden="1">#REF!</definedName>
    <definedName name="BExEUJHV8RCKINDDUZ9EKK2116MH" hidden="1">Addn [20]Info!$B$13:$T$26</definedName>
    <definedName name="BExEUK8WG4Z6L2QA4QFT0Z8AITMS" hidden="1">Addn [20]Info!$B$212:$T$215</definedName>
    <definedName name="BExEUOAHO8X3MF3DLWEPAW6WVNI0" hidden="1">SEU Func Area by [24]Driver!$A$15:$B$15</definedName>
    <definedName name="BExEUZDOS5IW0LBVFJWVEPY4C500" hidden="1">Addn [20]Info!$B$27:$T$38</definedName>
    <definedName name="BExEV5Z2G00UNVZN78TCFNX15OKI" hidden="1">SEU Func Area by [24]Driver!$A$13:$B$13</definedName>
    <definedName name="BExEVFKDB3I1PGDYRBZ2S7QG9M6W" hidden="1">Addn [20]Info!$B$102:$T$211</definedName>
    <definedName name="BExEVG0H7VPEOQHSNR964Y7Q0234" hidden="1">Addn [20]Info!$B$217:$T$225</definedName>
    <definedName name="BExEVRZZXQNCUB14WPQ8GA48DQT3" hidden="1">Addn [20]Info!$F$11:$F$12</definedName>
    <definedName name="BExEVXUI6PQXR3D5BE29CJJ6DV2N" hidden="1">Functional [21]Costs!$B$3</definedName>
    <definedName name="BExEWB18OJGAK1WTLGEY7JBB9YYA" hidden="1">SEU Func [22]Area!$A$12:$B$12</definedName>
    <definedName name="BExEWKXAR9PKJRKRQI6VK7GAUXR1" hidden="1">#REF!</definedName>
    <definedName name="BExEWM9T10EA58YE3U9SIXKEYV44" hidden="1">SEU Func [22]Area!$D$24:$E$24</definedName>
    <definedName name="BExEXM8E0F2BQDCLAB77JFLQ0PT9" hidden="1">Functional [21]Costs!$F$11:$F$12</definedName>
    <definedName name="BExEZ0A8XICFQ6C9HWDCGUHIDXDN" hidden="1">SEU Func [22]Area!$A$27:$B$27</definedName>
    <definedName name="BExEZ76ENXGOBF5PBXQJ70L9O2PZ" hidden="1">SEU Driver [25]Cd!$A$15:$B$15</definedName>
    <definedName name="BExEZA6AQF951QMNDZITNW6I9YF4" hidden="1">SEU Func [22]Area!$A$25:$B$25</definedName>
    <definedName name="BExEZHTCTFHWIE5X77O7X7BXREQI" hidden="1">SCG Func [22]Area!$D$3:$E$3</definedName>
    <definedName name="BExEZJGS1LRPE6VTO367I075MALO" hidden="1">Addn [20]Info!$B$39:$T$72</definedName>
    <definedName name="BExEZNYMRBM329VJ6BYON8FE3A6P" hidden="1">#REF!</definedName>
    <definedName name="BExF0OISVALZJC3KCPHVSTSPJ06G" hidden="1">Addn [20]Info!$B$79:$T$101</definedName>
    <definedName name="BExF1325NS5JVS6VT49CGOE612FK" hidden="1">SEU Func [22]Area!$D$15:$E$15</definedName>
    <definedName name="BExF1R6P0MN4JZAT3ZF12QGYH74R" hidden="1">SCG Func [22]Area!$D$11:$E$11</definedName>
    <definedName name="BExF22Q5GLEZIXJFJ9QNV296EVC9" hidden="1">SEU Driver by Func [22]Area!$A$7:$B$7</definedName>
    <definedName name="BExF2DNW3LPYTH861EFEUJNG7R3Y" hidden="1">SEU Func [22]Area!$A$8:$B$8</definedName>
    <definedName name="BExF3H2O11H0RHQ9Q7S28D9I2YFF" hidden="1">Functional [21]Costs!$B$31:$T$320</definedName>
    <definedName name="BExF3TYLWVJF9PW2Q562URNI9HS3" hidden="1">Addn [20]Info!$B$8:$C$9</definedName>
    <definedName name="BExF3YWJ9AGH6R3FHIC5E2RHLM77" hidden="1">SEU Func [22]Area!$A$10:$B$10</definedName>
    <definedName name="BExF3ZYEVITE9FYW53VPFQQ2F1NW" hidden="1">[0]!SDGE Func [22]Area!$D$3:$E$3</definedName>
    <definedName name="BExF415J0OXHQZRM64F05WAGOA0A" hidden="1">SEU Func Comm by [24]Driver!$A$14:$B$14</definedName>
    <definedName name="BExF421YI6V0HJL4LMQMKBC8KI1Z" hidden="1">Financial &amp; Non-[23]Financial!$B$7:$C$9</definedName>
    <definedName name="BExF4870SD6GYYBXV19HVKQE7S50" hidden="1">Addn [20]Info!$B$4:$B$5</definedName>
    <definedName name="BExF4JVTKGSB9I6CJ72A7TOZE4CN" hidden="1">SEU Driver by Func [26]Comm!$A$5:$B$5</definedName>
    <definedName name="BExF4SQ23FGVM2RD7ROEH120ZOSM" hidden="1">Functional [21]Costs!$B$14:$U$317</definedName>
    <definedName name="BExF579EMBCCKTQ787NH5YBB9CXI" hidden="1">SEU Driver by Func [22]Area!$D$7:$E$7</definedName>
    <definedName name="BExF59NQZO044CZ1UDDUUT1GMGGB" hidden="1">Addn [20]Info!$B$27:$T$38</definedName>
    <definedName name="BExF5NALJ6KWCBF2J2SJV1RAKIIA" hidden="1">[0]!SDGE Func [22]Area!$A$1:$A$1</definedName>
    <definedName name="BExF6610V6SPKG6Y40RHAG258JBC" hidden="1">#REF!</definedName>
    <definedName name="BExF6TUPOWY2HNDNPUBPWMXJZVG1" hidden="1">Functional [21]Costs!$B$7:$C$7</definedName>
    <definedName name="BExF7AXRCV25ZBTOJ6CA7J6SRJPV" hidden="1">Addn [20]Info!$B$14:$T$27</definedName>
    <definedName name="BExF7YREKZ9KNA4NJFZO3ZUQYEKL" hidden="1">Functional [21]Costs!$B$8:$C$9</definedName>
    <definedName name="BExGKN1EQXCDQEHXP2JYQQRYTRWK" hidden="1">Addn [20]Info!$B$100:$T$208</definedName>
    <definedName name="BExGLHB4SQLGEEKYPK5PCSP8CXIU" hidden="1">SEU Func [22]Area!$D$27:$E$27</definedName>
    <definedName name="BExGLKB1KMG0JUC55WOOFYX0L1QT" hidden="1">Financial &amp; Non-[23]Financial!$B$110:$P$133</definedName>
    <definedName name="BExGLQ02ITX09XCPFPXUSEY9X9O6" hidden="1">Addn [20]Info!$B$14:$T$27</definedName>
    <definedName name="BExGLYE4J4L87N4M36NDPS2FTWGP" hidden="1">Functional [21]Costs!$B$11:$E$13</definedName>
    <definedName name="BExGM1OUGUFAEN5JAJ448R6L0DC9" hidden="1">SEU Driver [25]Cd!$D$3:$E$3</definedName>
    <definedName name="BExGM4OR6LGJ4FDHDF9B4FQLO5VG" hidden="1">#REF!</definedName>
    <definedName name="BExGMMO4PGKI0FCLLW0Y83EE49RL" hidden="1">Addn [20]Info!$B$27:$T$38</definedName>
    <definedName name="BExGMTESDL71HXFF5HGI2UNODRJZ" hidden="1">SEU Driver by Func [22]Area!$A$1:$A$1</definedName>
    <definedName name="BExGMVYK8MOJBCT6MO7TFJCQWCB4" hidden="1">Addn [20]Info!$B$217:$T$225</definedName>
    <definedName name="BExGNLVTUF1UPFTN1H04SGPNRF7J" hidden="1">Functional [21]Costs!$B$7:$C$7</definedName>
    <definedName name="BExGNW803QVDQPUE9JUS0V7PM9XV" hidden="1">Addn [20]Info!$B$7:$C$7</definedName>
    <definedName name="BExGO39MU9M3YRTE728WTLYISKF8" hidden="1">Addn [20]Info!$B$71:$T$78</definedName>
    <definedName name="BExGO9V0UPC4EUV2KNMCLR1LECQ7" hidden="1">Addn [20]Info!$B$27:$T$38</definedName>
    <definedName name="BExGOBCYYQ32Y05966JGP890LR5P" hidden="1">Financial &amp; Non-[23]Financial!$B$14:$P$108</definedName>
    <definedName name="BExGPJ9JSSVOEMUU1M5YPEVFX4NG" hidden="1">SEU Driver by Func [22]Area!$A$3:$B$3</definedName>
    <definedName name="BExGPYEBZP2PJXBPRNVLPF811HK5" hidden="1">Addn [20]Info!$B$39:$T$72</definedName>
    <definedName name="BExGQ6SGHLX1UM9L4HFT426AGHTJ" hidden="1">#REF!</definedName>
    <definedName name="BExGQOMI69EAM2G0OO7JQ9QWBGHF" hidden="1">SCG Func [22]Area!$D$3:$E$3</definedName>
    <definedName name="BExGQXM28CAHL5P2JT4MT12AXVKQ" hidden="1">Functional [21]Costs!$G$11:$G$12</definedName>
    <definedName name="BExGR05TTS4EEK6FJB4Z1XNCU2IL" hidden="1">#REF!</definedName>
    <definedName name="BExGR2PH07U3CUHH1SJI9MSVTF4X" hidden="1">[0]!SDGE Func [22]Area!$D$12:$E$12</definedName>
    <definedName name="BExGRCLIZJ7923TN9WTU4JZQTJYD" hidden="1">SEU Driver [25]Cd!$D$11:$E$11</definedName>
    <definedName name="BExGRNOQ1INB98JYFD7QR60QU8J0" hidden="1">Addn [20]Info!$B$78:$T$100</definedName>
    <definedName name="BExGROABY17NJ0W01ONPLDSLT7KW" hidden="1">Addn [20]Info!$B$79:$T$101</definedName>
    <definedName name="BExGRTDQRTVRLDLDG9M3OT7SCRYO" hidden="1">#REF!</definedName>
    <definedName name="BExGS1H2LMB6GNAYU1SO8C2A7ZCY" hidden="1">#REF!</definedName>
    <definedName name="BExGSET422SC76HGF6BD7D0Y4AJ7" hidden="1">SEU Driver by Func [22]Area!$D$3:$E$3</definedName>
    <definedName name="BExGSJLREUNQM8QN7XF7ULBE3ABJ" hidden="1">Functional [21]Costs!$B$14:$AC$317</definedName>
    <definedName name="BExGSRP2RCVSVBEI53K7SAI5Q9PI" hidden="1">SCG Func [22]Area!$A$7:$B$7</definedName>
    <definedName name="BExGSU3EO2DALPTV06MEXU0DGFQC" hidden="1">SEU Func [22]Area!$D$14:$E$14</definedName>
    <definedName name="BExGT9TRBEXEWQ0B9KXJX7Z5UJRY" hidden="1">Financial &amp; Non-[23]Financial!$B$14:$P$108</definedName>
    <definedName name="BExGTBMJUADXPOUCEYU665THGQO2" hidden="1">Functional [21]Costs!$F$11:$F$12</definedName>
    <definedName name="BExGTIITSO78YF6RR73QHWEYK87U" hidden="1">Addn [20]Info!$B$14:$T$27</definedName>
    <definedName name="BExGUAOWJHFLPH9QVH93IOYVKOMO" hidden="1">[0]!SDGE Func [22]Area!$A$7:$B$7</definedName>
    <definedName name="BExGUGJ7JW4B1Q93WL3HH2XKDWXW" hidden="1">Addn [20]Info!$B$212:$T$215</definedName>
    <definedName name="BExGUOBXX25SLEUMAHTMBBD37IF8" hidden="1">SCG Func [22]Area!$A$14:$B$14</definedName>
    <definedName name="BExGV83UEDIYPPYAFYK850MTRA20" hidden="1">#REF!</definedName>
    <definedName name="BExGVWU3I1N98ZJLT37NV6U7MU41" hidden="1">Addn [20]Info!$B$4:$B$5</definedName>
    <definedName name="BExGVXVSDMTHO66SM4TYGELLKBHR" hidden="1">SCG Func [22]Area!$D$6:$E$6</definedName>
    <definedName name="BExGW1XJNF8ZA5174XEG2T1BA0LK" hidden="1">#REF!</definedName>
    <definedName name="BExGX3E1UUGUNWM7H46KUNH1G7V9" hidden="1">SEU Func Area by [24]Driver!$A$12:$B$12</definedName>
    <definedName name="BExGXFDNXOOKOD5MZTQ0KVDF4N34" hidden="1">#REF!</definedName>
    <definedName name="BExGXNX1TWG5GTUBXCTBTF1B4KJV" hidden="1">Financial &amp; Non-[23]Financial!$F$11:$F$12</definedName>
    <definedName name="BExGXQM6KA3CYNQRFGYQ73WXXG17" hidden="1">[0]!SDGE Func [22]Area!$D$9:$E$9</definedName>
    <definedName name="BExGXX7JK0MPSZQT0YGZ8WBGKX1B" hidden="1">Addn [20]Info!$B$4:$B$5</definedName>
    <definedName name="BExGY55KGVQABF1JSG4UW8ZYF0V0" hidden="1">Addn [20]Info!$B$11:$E$13</definedName>
    <definedName name="BExGY7ZZ56Z6VYPBCD3UONC4EJZG" hidden="1">Functional [21]Costs!$B$11:$E$13</definedName>
    <definedName name="BExGY9CMOVKAA1T7PZKIYJK1B21L" hidden="1">Addn [20]Info!$B$8:$C$9</definedName>
    <definedName name="BExGYKL4E6PDS7BORYW6OIYDZ08D" hidden="1">#REF!</definedName>
    <definedName name="BExGZANU0NKBR7BENVVONMA3G9VH" hidden="1">Functional [21]Costs!$F$10:$F$11</definedName>
    <definedName name="BExGZE3V7GJL3EY0JX5GX8MBWN8U" hidden="1">SEU Func Comm by [24]Driver!$D$6:$E$6</definedName>
    <definedName name="BExGZEPFQH1LIB70VVOS2H2BZGAG" hidden="1">SEU Driver [25]Cd!$A$14:$B$14</definedName>
    <definedName name="BExGZHJZPD8DKFQ3732QJAL8QVXT" hidden="1">Addn [20]Info!$B$102:$T$211</definedName>
    <definedName name="BExGZJ1XKN2W09Q7JR3W6MM4STLQ" hidden="1">Financial &amp; Non-[23]Financial!$B$131:$P$154</definedName>
    <definedName name="BExGZQZS6V2URKO3EIGKOOVHUU3H" hidden="1">Addn [20]Info!$B$39:$T$72</definedName>
    <definedName name="BExH0IKGVHOBJIDPCZHJ479O3SRP" hidden="1">SEU Func [22]Area!$A$5:$B$5</definedName>
    <definedName name="BExH1YKD2I1DBVJNDJET8J83W122" hidden="1">[0]!SDGE Func [22]Area!$A$13:$B$13</definedName>
    <definedName name="BExH2CY9K2FSWO15D9QFCTPUHA9H" hidden="1">Addn [20]Info!$F$11:$F$12</definedName>
    <definedName name="BExH2D91ZFWCDB3SI5A50B000FVX" hidden="1">Addn [20]Info!$B$7:$C$7</definedName>
    <definedName name="BExH2YZ94P6CDZWU4OBA137L6UHO" hidden="1">SEU Func [22]Area!$A$22:$B$22</definedName>
    <definedName name="BExH3P7DTX62RPMIDHX5GI04FYKQ" hidden="1">Functional [21]Costs!$G$11:$G$12</definedName>
    <definedName name="BExH4ETUSFTMPBY6PV1SWMC6QX5G" hidden="1">#REF!</definedName>
    <definedName name="BExIFSCMTI0FAJ8EV2XHIBYCOK6I" hidden="1">Addn [20]Info!$B$27:$T$38</definedName>
    <definedName name="BExIH2T1CRIPNN2YFR7GOWLYEA52" hidden="1">SCG Func [22]Area!$D$7:$E$7</definedName>
    <definedName name="BExIH2T1IY9JQEUFBZ4JLOJV0TG5" hidden="1">Functional [21]Costs!$B$7:$C$7</definedName>
    <definedName name="BExIHGAIUBSYBR9A804NA3TRM4S8" hidden="1">#REF!</definedName>
    <definedName name="BExIHZRVCSHLCGDXWK8U6MU55AB7" hidden="1">SEU Func [22]Area!$D$8:$E$8</definedName>
    <definedName name="BExII4VA48OXWGVJF9IBSMUY9V98" hidden="1">Functional [21]Costs!$B$4:$B$5</definedName>
    <definedName name="BExII7EXHAHJM240CRUWBO9962O7" hidden="1">Addn [20]Info!$B$38:$T$71</definedName>
    <definedName name="BExIITW628XK67X2U1OPK4J84ZEV" hidden="1">#REF!</definedName>
    <definedName name="BExIJ7DPBEAMQ0MSR84W0UBZWEGS" hidden="1">SEU Func [22]Area!$A$13:$B$13</definedName>
    <definedName name="BExIJA84K6XVD5SKJPK4SV2P73TB" hidden="1">#REF!</definedName>
    <definedName name="BExIJNPMVEY41OWJGVYMC94PWIYE" hidden="1">Addn [20]Info!$B$102:$T$211</definedName>
    <definedName name="BExIJPIDP9JV8OJLIDAYGPANDFSY" hidden="1">Financial &amp; Non-[23]Financial!$B$7:$C$9</definedName>
    <definedName name="BExIJPNPAAVDZH0GGK1FKGQPZZSM" hidden="1">#REF!</definedName>
    <definedName name="BExIK1HYH5WNNXHXQ1OWPYCTHU72" hidden="1">Addn [20]Info!$B$39:$T$72</definedName>
    <definedName name="BExIKEZJKO4ZEDFGQII0YK1U11JZ" hidden="1">#REF!</definedName>
    <definedName name="BExIKRKOIS45NJ5YKIDVWPQOYOL9" hidden="1">Addn [20]Info!$B$39:$T$72</definedName>
    <definedName name="BExIL4B5GFRFNQH8Q8AMHVEHCUZO" hidden="1">Functional [21]Costs!$B$8:$C$9</definedName>
    <definedName name="BExIL4GLR59EU0W87F88F2QG1Z8O" hidden="1">#REF!</definedName>
    <definedName name="BExILAR1ZPEWM5YR24H92C0JDRRN" hidden="1">Addn [20]Info!$B$13:$T$26</definedName>
    <definedName name="BExILDATS6PRT5N7FTAWPKOBH5B7" hidden="1">#REF!</definedName>
    <definedName name="BExILWHDUF5X53U4Q4U0I1JKVVE5" hidden="1">Functional [21]Costs!$B$8:$C$9</definedName>
    <definedName name="BExIM4VIKFX1GI2KS4JBBQD4OZC4" hidden="1">Addn [20]Info!$B$8:$C$9</definedName>
    <definedName name="BExIMC2EV8MZFYH202AYX95VN5T4" hidden="1">Functional [21]Costs!$B$14:$AC$317</definedName>
    <definedName name="BExIMQ5KZ1K5TTI03C4VA04B2U57" hidden="1">Functional [21]Costs!$B$14</definedName>
    <definedName name="BExIN13AVDPXLS4PF4Z9M9G1Z76E" hidden="1">SEU Func [22]Area!$D$9:$E$9</definedName>
    <definedName name="BExIND86ZS4TEVYV6ZK18DKTBFIO" hidden="1">SEU Driver by Func [22]Area!$A$11:$B$11</definedName>
    <definedName name="BExIO8P4YOIMV1JAWVAZ4DO6021M" hidden="1">Addn [20]Info!$B$102:$T$211</definedName>
    <definedName name="BExIP5D60RQDO1HRB19L6DCT83H4" hidden="1">Addn [20]Info!$B$78:$T$100</definedName>
    <definedName name="BExIPBNM3CSLE9YV7LOT0R11MJBI" hidden="1">Addn [20]Info!$B$8:$C$9</definedName>
    <definedName name="BExIQ92Q0519J5MJF4MW49ZAAUV6" hidden="1">SCG Func [22]Area!$A$6:$B$6</definedName>
    <definedName name="BExIQEM98FHB6XHBDY1JFPRGK4MD" hidden="1">Addn [20]Info!$B$27:$T$38</definedName>
    <definedName name="BExIQK0GFOIXW53793KMLA7DSQWI" hidden="1">Addn [20]Info!$B$4:$B$5</definedName>
    <definedName name="BExIQS98Y1Q64V6T2E9KQVFOKVI8" hidden="1">Addn [20]Info!$B$7:$C$7</definedName>
    <definedName name="BExIQTG93KR7ME8UBCBGVA6APZ6M" hidden="1">SEU Driver by Func [22]Area!$D$5:$E$5</definedName>
    <definedName name="BExIR9SCR713IFP0WZBGWVXN92JA" hidden="1">SEU Func [22]Area!$D$7:$E$7</definedName>
    <definedName name="BExIRG2YB6U8XHVW0HAGK8L4KEYV" hidden="1">Addn [20]Info!$F$11:$F$12</definedName>
    <definedName name="BExIRL0WRAH90TEKQ2PU8MXBVPBM" hidden="1">#REF!</definedName>
    <definedName name="BExIRNVGNU73CEF6ALOGYUNOW0U7" hidden="1">SCG Func [22]Area!$A$11:$B$11</definedName>
    <definedName name="BExIRVO0QSGCASW0AWUQM10DO92I" hidden="1">Addn [20]Info!$B$11:$E$13</definedName>
    <definedName name="BExIS0WSQ5Z8QJQFTZYMXQZN5YCN" hidden="1">SEU Driver by Func [26]Comm!$D$8:$E$8</definedName>
    <definedName name="BExIS4YIQALZA992UXXBU4JDFBGM" hidden="1">Addn [20]Info!$B$27:$T$38</definedName>
    <definedName name="BExISG72A6BHVE3NBQVTYPSLT7KB" hidden="1">Addn [20]Info!$B$4:$B$5</definedName>
    <definedName name="BExITABBUGATHQ5Y5MAOQP5SH17Q" hidden="1">SEU Func [22]Area!$A$13:$B$13</definedName>
    <definedName name="BExITARJVCVQ5G6KQDP88RC6QHCY" hidden="1">SEU Driver by Func [22]Area!$A$9:$B$9</definedName>
    <definedName name="BExITBIGWP0MJPJSN8IZU3RMEAWJ" hidden="1">Addn [20]Info!$B$73:$T$80</definedName>
    <definedName name="BExITOP7O4BSUW087EKMYLKB4UXR" hidden="1">Addn [20]Info!$B$78:$T$100</definedName>
    <definedName name="BExIUBXHE3WUI9QDGCGHET2XGDAL" hidden="1">Addn [20]Info!$B$209:$T$215</definedName>
    <definedName name="BExIV8QOQ84LJ5PXUX5MI80QGD5Q" hidden="1">SEU Driver [25]Cd!$A$5:$B$5</definedName>
    <definedName name="BExIW726IGZYRA6TJ5ZLKE7ABQG8" hidden="1">Addn [20]Info!$B$73:$T$80</definedName>
    <definedName name="BExIWEJX25D5FZQI9Z7LS76QACOK" hidden="1">SEU Func [22]Area!$A$31:$A$32</definedName>
    <definedName name="BExIWX4QUS8GZI89PS41C2PO12UH" hidden="1">#REF!</definedName>
    <definedName name="BExIXEYRZT15Z6D54TJWMF3SWCQP" hidden="1">SEU Driver [25]Cd!$D$7:$E$7</definedName>
    <definedName name="BExIXNCWXXNR81ZIR70WT7ST77V6" hidden="1">#REF!</definedName>
    <definedName name="BExIXR95Q2IRU8YKZAQATRN0FWV6" hidden="1">Addn [20]Info!$B$14</definedName>
    <definedName name="BExIXZ1KHL3SNHLFECYBDHKZ6U46" hidden="1">Financial &amp; Non-[23]Financial!$B$14:$P$108</definedName>
    <definedName name="BExIXZXWB0BZMJ1121LAL9FZAMPY" hidden="1">#REF!</definedName>
    <definedName name="BExIXZY37U9ICT1J1TGVVPDR0J6T" hidden="1">Addn [20]Info!$B$71:$T$78</definedName>
    <definedName name="BExIYBS6OBX000CKF26KUVT6PKXL" hidden="1">[0]!SDGE Func [22]Area!$D$7:$E$7</definedName>
    <definedName name="BExIYHH6IUOGFPR0AUG0J2X3E6P1" hidden="1">SEU Func [22]Area!$A$9:$B$9</definedName>
    <definedName name="BExIZ6STDECZVLI5IBZWNWSATJ4K" hidden="1">#REF!</definedName>
    <definedName name="BExIZ7954XTG6TZNHLKX4KDKM9AL" hidden="1">[0]!SDGE Func [22]Area!$D$4:$E$4</definedName>
    <definedName name="BExIZL6QTBF2FNZRHMADQY6XGJNX" hidden="1">[0]!SDGE Func [22]Area!$A$12:$B$12</definedName>
    <definedName name="BExJ0K955EICJ1YH4ZJN1EIAPCZU" hidden="1">#REF!</definedName>
    <definedName name="BExKDX3VKK7MG2TKGKAVMP2ALL86" hidden="1">SEU Driver by Func [22]Area!$D$11:$E$11</definedName>
    <definedName name="BExKESQ2K3X7U1M7WJDWS8NN1TYL" hidden="1">Addn [20]Info!$B$7:$C$7</definedName>
    <definedName name="BExKF1KFA6ISNT7S5JBN7SJ6HN1G" hidden="1">#REF!</definedName>
    <definedName name="BExKFMZTST3O2X2Y679VNNJ5G5IT" hidden="1">Addn [20]Info!$B$212:$T$215</definedName>
    <definedName name="BExKFY31TCY75OMUQNG8CGUAAIZH" hidden="1">SEU Func [22]Area!$A$25:$B$25</definedName>
    <definedName name="BExKGB4BKOPM9LE0VKOE03YHIQQM" hidden="1">[0]!SDGE Func [22]Area!$A$15:$B$15</definedName>
    <definedName name="BExKGK414LP3SF9H998WCWSOZ2RF" hidden="1">SEU Func Comm by [24]Driver!$D$7:$E$7</definedName>
    <definedName name="BExKGYCEMSXID5NF8FBMWC5E4K2K" hidden="1">SEU Func [22]Area!$A$3:$B$3</definedName>
    <definedName name="BExKH58LCFIHH716PTTOB278LXGP" hidden="1">SEU Func Area by [24]Driver!$A$1:$A$1</definedName>
    <definedName name="BExKH8DY8MFUAOSM43HQ8ZLUIYDQ" hidden="1">SEU Func Comm by [24]Driver!$A$10:$B$10</definedName>
    <definedName name="BExKHZICQ1E9QB703OWB9P9TA3GE" hidden="1">#REF!</definedName>
    <definedName name="BExKI5I5KMP8GK5LXTIJRDIZI45R" hidden="1">Financial &amp; Non-[23]Financial!$B$110:$P$133</definedName>
    <definedName name="BExKI6PB6I40BP844JARMGLG2SEB" hidden="1">SEU Func Comm by [24]Driver!$A$12:$B$12</definedName>
    <definedName name="BExKIQXJ967YLRAPFPZG794BH5FH" hidden="1">#REF!</definedName>
    <definedName name="BExKJ449OV40VVKF65OXB94QVZRT" hidden="1">[0]!SDGE Func [22]Area!$D$8:$E$8</definedName>
    <definedName name="BExKJDK7IFNOH6RPBUJFQZKBG9OH" hidden="1">#REF!</definedName>
    <definedName name="BExKJQWAL54M0GRP4G9LT5MZ4OMD" hidden="1">Functional [21]Costs!$B$7:$C$7</definedName>
    <definedName name="BExKJSP190NZYQ5XVLKC55XXONA5" hidden="1">Financial &amp; Non-[23]Financial!$B$14:$G$105</definedName>
    <definedName name="BExKK133OOFMQ7OWQCIX64AAKG2L" hidden="1">Functional [21]Costs!$F$10:$F$11</definedName>
    <definedName name="BExKK2VV978E5BT67CQZMWKW3LM0" hidden="1">SEU Driver [25]Cd!$D$11:$E$11</definedName>
    <definedName name="BExKKKPT0RT08PFXTO1TW4GD4O72" hidden="1">Financial &amp; Non-[23]Financial!$G$11:$G$12</definedName>
    <definedName name="BExKKQ3YKPG0QQ2CCOWY5FOQL6XM" hidden="1">Functional [21]Costs!$B$7:$C$7</definedName>
    <definedName name="BExKL9FUJ2MAP5ZX5Z9FRXDH8NYC" hidden="1">Addn [20]Info!$B$217:$T$225</definedName>
    <definedName name="BExKM8YAU64ZSHWSTOSVCXXSSCW3" hidden="1">Addn [20]Info!$B$27:$T$38</definedName>
    <definedName name="BExKML3DLDIN5KIOOVS39URB556K" hidden="1">SEU Driver [25]Cd!$A$13:$B$13</definedName>
    <definedName name="BExKNYOZYS7I7HLZ129C2GRARZ16" hidden="1">Addn [20]Info!$B$13:$T$26</definedName>
    <definedName name="BExKP7Y39UUGJ27U56FD2ME1KEP8" hidden="1">#REF!</definedName>
    <definedName name="BExKPRKVLJ5V59B8JWBKL52I9LUS" hidden="1">SEU Driver [25]Cd!$A$15:$B$15</definedName>
    <definedName name="BExKQ0F2NKVWWZKV3BGXGP4M2VAB" hidden="1">Financial &amp; Non-[23]Financial!$B$225:$P$229</definedName>
    <definedName name="BExKQ8NVLIT2Y22ECVW8NVPOMRIS" hidden="1">Addn [20]Info!$B$3</definedName>
    <definedName name="BExKR1VTU35AA8MJSWNOC03YM1QJ" hidden="1">Functional [21]Costs!$F$11:$F$12</definedName>
    <definedName name="BExKR8RYW6MVQ90YGUFXYV8L34Y9" hidden="1">Addn [20]Info!$B$8:$C$9</definedName>
    <definedName name="BExKRWQXIQ0Z9KBXHOCWW79NEIMQ" hidden="1">SEU Driver by Func [22]Area!$D$8:$E$8</definedName>
    <definedName name="BExKS6N0RWV8M0L0SWKOTCW30V6N" hidden="1">SCG Func [22]Area!$D$5:$E$5</definedName>
    <definedName name="BExKS73AFX6IOPJ24COHC5Y30145" hidden="1">Addn [20]Info!$B$27:$T$38</definedName>
    <definedName name="BExKTCLKTZQTBMY9VWLXLV0JMA9G" hidden="1">SCG Func [22]Area!$A$11:$B$11</definedName>
    <definedName name="BExKTWOHI8PDZ0JPTTE7Q0RFDQ6A" hidden="1">SEU Func Comm by [24]Driver!$D$8:$E$8</definedName>
    <definedName name="BExKU39VGJLLYZIYK7152IIOF3QO" hidden="1">Functional [21]Costs!$B$8:$C$9</definedName>
    <definedName name="BExKU8YVHGSXISXM3VLI5L8DZB9M" hidden="1">Addn [20]Info!$B$8:$C$9</definedName>
    <definedName name="BExKUBTB0I4XX7MY353FZD37JTT1" hidden="1">Addn [20]Info!$B$102:$T$211</definedName>
    <definedName name="BExKUCPN5NTM52SNK7EI4BW9SB8G" hidden="1">Addn [20]Info!$G$10:$G$12</definedName>
    <definedName name="BExKVDVJGVVKQQE2R9K79IPYV84K" hidden="1">Functional [21]Costs!$B$14:$AC$317</definedName>
    <definedName name="BExM8ZKH3UP9P5WJASC50S8LP664" hidden="1">Addn [20]Info!$B$13:$T$26</definedName>
    <definedName name="BExMAJRGSIR6B60AL6WX7A4LRW60" hidden="1">Functional [21]Costs!$B$3</definedName>
    <definedName name="BExMAL43YJRRMMRTLS9A2ADQ7ARN" hidden="1">Addn [20]Info!$B$212:$T$215</definedName>
    <definedName name="BExMAY020KM1KV6VF6ECNR54F8H4" hidden="1">Financial &amp; Non-[23]Financial!$B$7:$C$9</definedName>
    <definedName name="BExMAYWEZTCCJHQMGTDJ1A37YU7A" hidden="1">Addn [20]Info!$B$78:$T$100</definedName>
    <definedName name="BExMB1QV9QK0ZMI45WS9BP5AFQ6O" hidden="1">SEU Driver by Func [26]Comm!$A$4:$B$4</definedName>
    <definedName name="BExMCGZWH8JESXBU5FKRQLUIGD7H" hidden="1">SEU Func [22]Area!$D$11:$E$11</definedName>
    <definedName name="BExMCYTRQZAN58T3JVVUKN00G8TA" hidden="1">#REF!</definedName>
    <definedName name="BExMDJ7HH09S5OF6ZSLZ3GNDIQPI" hidden="1">SEU Driver [25]Cd!$A$12:$B$12</definedName>
    <definedName name="BExMDJT23FOO7CHLLHTC90FO8HTA" hidden="1">Addn [20]Info!$B$8:$C$9</definedName>
    <definedName name="BExMDPY5F5XZH8HO45T0GJBQLNMS" hidden="1">SCG Func [22]Area!$D$12:$E$12</definedName>
    <definedName name="BExMDUAP2EQI3Q78L0SAFXFLPT4B" hidden="1">Functional [21]Costs!$B$31:$T$320</definedName>
    <definedName name="BExME7MQDJ65NPFDCI9ZJHESAOUO" hidden="1">Functional [21]Costs!$B$31:$T$320</definedName>
    <definedName name="BExMEB88ZSSHONPYPVQVLMI087MN" hidden="1">[0]!SDGE Func [22]Area!$A$16:$B$16</definedName>
    <definedName name="BExMEBZAZ4NPJIN5YIPCHXTCLUYU" hidden="1">Financial &amp; Non-[23]Financial!$F$11:$F$12</definedName>
    <definedName name="BExMEJ69PEOYTY3JH5Y4HI9K37HM" hidden="1">Addn [20]Info!$B$4:$B$5</definedName>
    <definedName name="BExMELPVH2A780R1BZF94B61NNLT" hidden="1">Functional [21]Costs!$B$8:$C$9</definedName>
    <definedName name="BExMENTE6VDOIFDN6E9OIT1X7FRI" hidden="1">Financial &amp; Non-[23]Financial!$B$8:$C$9</definedName>
    <definedName name="BExMF577SWU21FLNEOG8Z1LSXW4W" hidden="1">SEU Driver by Func [22]Area!$A$8:$B$8</definedName>
    <definedName name="BExMFQS24YQ73TYXUC3VX2I26SPH" hidden="1">#REF!</definedName>
    <definedName name="BExMGB5KXY2V8JJBY1BUP25IL7PZ" hidden="1">#REF!</definedName>
    <definedName name="BExMGF7C01Z9U7YMYJAUV3N1M222" hidden="1">Addn [20]Info!$B$27:$T$38</definedName>
    <definedName name="BExMGOXWQY72Q42XUVNBNJ68SCWL" hidden="1">SEU Func [22]Area!$A$15:$B$15</definedName>
    <definedName name="BExMGPOYUC1P4H867BRSI49M7XN4" hidden="1">Functional [21]Costs!$B$31:$T$320</definedName>
    <definedName name="BExMGQQSKI22L90LKX7J7R8IJTYN" hidden="1">[0]!SDGE Func [22]Area!$D$5:$E$5</definedName>
    <definedName name="BExMGS39V91P6N8K89TBHIK11NXN" hidden="1">SCG Func [22]Area!$A$3:$B$3</definedName>
    <definedName name="BExMH1TVNP5HF1BRYTLXIDDKOZ6S" hidden="1">Addn [20]Info!$G$11:$G$12</definedName>
    <definedName name="BExMHDO5Q50GZZG66W4JZ17HQPJ6" hidden="1">Addn [20]Info!$B$100:$T$208</definedName>
    <definedName name="BExMHHPRC496VAFBZBHWJ2Q8RAY2" hidden="1">Addn [20]Info!$B$217:$T$225</definedName>
    <definedName name="BExMHIM2IX8RUQZ8XXGJRV8VASYM" hidden="1">Addn [20]Info!$B$39:$T$72</definedName>
    <definedName name="BExMHQ3UNCVIBIXHPQMSNULHFRZJ" hidden="1">#REF!</definedName>
    <definedName name="BExMHZZWCUW2LAKE6DQCGOIO6UNL" hidden="1">SEU Func [22]Area!$A$23:$B$23</definedName>
    <definedName name="BExMI9VX7UHKIXM5WADK6NYN15DD" hidden="1">SEU Driver by Func [22]Area!$A$5:$B$5</definedName>
    <definedName name="BExMIFA55ROTS3LTP0KD4HNJ4KNM" hidden="1">Addn [20]Info!$B$27:$T$38</definedName>
    <definedName name="BExMJLOTJ54L4YM3YNGCNJ05Z06B" hidden="1">#REF!</definedName>
    <definedName name="BExMJXTQCAKQTOWFNWVOYBSD2E3H" hidden="1">Addn [20]Info!$B$39:$T$72</definedName>
    <definedName name="BExMK7V8LGPSGPADE34UVO11KCDN" hidden="1">Addn [20]Info!$B$7:$C$7</definedName>
    <definedName name="BExMKQAQ0OOXUQQNP16IW04CB31T" hidden="1">Financial &amp; Non-[23]Financial!$B$135:$P$183</definedName>
    <definedName name="BExML135M2OMCP27UTB2EE8RHL6J" hidden="1">Addn [20]Info!$B$100:$T$208</definedName>
    <definedName name="BExML4TY6P9PJ1AH1XDQGD5C68F2" hidden="1">#REF!</definedName>
    <definedName name="BExMM0WFG8G3KB0OASCLL5AC0ONW" hidden="1">SEU Func Comm by [24]Driver!$A$13:$B$13</definedName>
    <definedName name="BExMM1HZVEP4G5J4DX615ZSFMQUZ" hidden="1">Functional [21]Costs!$B$14</definedName>
    <definedName name="BExMMNTRRKO04772SBFDMS83UJFW" hidden="1">Addn [20]Info!$B$100:$T$208</definedName>
    <definedName name="BExMMOA1RQU6F8AW993D1AV8FS83" hidden="1">Functional [21]Costs!$B$3</definedName>
    <definedName name="BExMNAAZN51CLJDY28X4R17SL7DY" hidden="1">SCG Func [22]Area!$A$8:$B$8</definedName>
    <definedName name="BExMNB7CXH6Z415JA8NXAQTTWE6F" hidden="1">Functional [21]Costs!$B$11:$E$13</definedName>
    <definedName name="BExMNDAX5P2SPZLWT664PLCI91A1" hidden="1">Functional [21]Costs!$B$8:$C$9</definedName>
    <definedName name="BExMNGWDVOO76VO30FKCO8J0OCCC" hidden="1">SEU Func [22]Area!$A$3:$B$3</definedName>
    <definedName name="BExMNPAGCU6O5FM90I5DQNXTDLU6" hidden="1">[0]!SDGE Func [22]Area!$A$9:$B$9</definedName>
    <definedName name="BExMNZS3Y02ZU55HR88AN6OIBHNO" hidden="1">SEU Driver [25]Cd!$D$5:$E$5</definedName>
    <definedName name="BExMO5X7UFE5OT76GT4ZZJOLG4M8" hidden="1">Financial &amp; Non-[23]Financial!$B$7:$C$9</definedName>
    <definedName name="BExMOHM0XU316F0O6JVHM10XKMNM" hidden="1">Addn [20]Info!$B$3</definedName>
    <definedName name="BExMOOSY6RU55NYNTNDFRW0VNJ8R" hidden="1">SCG Func [22]Area!$D$5:$E$5</definedName>
    <definedName name="BExMP1UCX5RBULDAEQQRH40M55B0" hidden="1">#REF!</definedName>
    <definedName name="BExMPC13DPCNW7JITTX6YD0FA6XQ" hidden="1">Addn [20]Info!$B$13:$T$26</definedName>
    <definedName name="BExMPP7U4PC4FO9ST6JRYVV57T4W" hidden="1">Financial &amp; Non-[23]Financial!$B$110:$P$133</definedName>
    <definedName name="BExMQ4NLEEZ3RE0WXCQS3UISSFC2" hidden="1">Addn [20]Info!$B$79:$T$101</definedName>
    <definedName name="BExMQ6ATGDBCHCFPL4LNQH0G3C3Q" hidden="1">SEU Driver [25]Cd!$D$12:$E$12</definedName>
    <definedName name="BExMQJSCDCUXDSNTD1B9LXMPUQ4T" hidden="1">SCG Func [22]Area!$A$5:$B$5</definedName>
    <definedName name="BExMQRKWQ4GCVSBUJBM4509XR0I6" hidden="1">#REF!</definedName>
    <definedName name="BExMQZDFM6REC1CIHLIWOO0S42A2" hidden="1">SEU Func [22]Area!$D$15:$E$15</definedName>
    <definedName name="BExMR6EWCY52W01QZQOLBFTR124J" hidden="1">SEU Driver by Func [22]Area!$D$6:$E$6</definedName>
    <definedName name="BExMRKY9QK5LV0WQSEVF1NEPLY2I" hidden="1">SEU Driver by Func [26]Comm!$A$16:$B$16</definedName>
    <definedName name="BExMRTSGRYVIP5AR6LCTRF8D71KA" hidden="1">Addn [20]Info!$B$73:$T$80</definedName>
    <definedName name="BExMSEX7XWOZM8GVFKRFEQBGHXOA" hidden="1">SEU Driver by Func [22]Area!$A$4:$B$4</definedName>
    <definedName name="BExMSKGR674YUIEMWAXOD5HI4J7B" hidden="1">SEU Driver [25]Cd!$D$3:$E$3</definedName>
    <definedName name="BExO60WZVOCTJPE1IXJG0XGYZJNT" hidden="1">SEU Func Area by [24]Driver!$D$13:$E$13</definedName>
    <definedName name="BExO6129YAWMR7HOVBDF4LQNVP66" hidden="1">SEU Driver [25]Cd!$A$1:$A$1</definedName>
    <definedName name="BExO62441253JG7FUJDWJJSMTWPM" hidden="1">SEU Driver [25]Cd!$D$9:$E$9</definedName>
    <definedName name="BExO62PQIHHOY2AMT4DS5R4X2GDE" hidden="1">#REF!</definedName>
    <definedName name="BExO6FG76JG938WZ4VRW3DWP3453" hidden="1">#REF!</definedName>
    <definedName name="BExO6VMUCMFBCMVG250D3SD90Q0P" hidden="1">Addn [20]Info!$B$79:$T$101</definedName>
    <definedName name="BExO74XBR05Z3OFEINK71ZZNGEIN" hidden="1">[0]!SDGE Func [22]Area!$A$5:$B$5</definedName>
    <definedName name="BExO7ABJCC5RO5ZRFO3EALA6E26V" hidden="1">SEU Func Area by [24]Driver!$A$6:$B$6</definedName>
    <definedName name="BExO7IPN407OSZ4D26UTUGXWY1L2" hidden="1">Addn [20]Info!$B$73:$T$80</definedName>
    <definedName name="BExO7QI6R622VVAMNZSEVHADGAW4" hidden="1">SEU Func Area by [24]Driver!$A$5:$B$5</definedName>
    <definedName name="BExO7ZSNWDHCVH0VQ4UKOGZ520HS" hidden="1">SEU Func Comm by [24]Driver!$A$15:$B$15</definedName>
    <definedName name="BExO82SKFIERVB1ZNP4AC82M8YUP" hidden="1">#REF!</definedName>
    <definedName name="BExO8AA9S369RFL3XGH097ZQX2FJ" hidden="1">SEU Driver by Func [22]Area!$A$16:$B$16</definedName>
    <definedName name="BExO8RYVNYD1T7M7F0JW2TXZLTP3" hidden="1">[0]!SDGE Func [22]Area!$D$3:$E$3</definedName>
    <definedName name="BExO9504J9X5SXORSOTXW0PT59JX" hidden="1">Financial &amp; Non-[23]Financial!$B$135:$P$183</definedName>
    <definedName name="BExO955HS210TLM0L428N4017JNQ" hidden="1">#REF!</definedName>
    <definedName name="BExO9HAIWSP2HKRMYQK5HSJJRXB5" hidden="1">[0]!SDGE Func [22]Area!$D$7:$E$7</definedName>
    <definedName name="BExO9JU5FRFZS8VOCWSHGOCNPRUO" hidden="1">SEU Driver [25]Cd!$D$13:$E$13</definedName>
    <definedName name="BExO9TVPELHSSYFNE9H2Q12VARJ8" hidden="1">Functional [21]Costs!$B$3</definedName>
    <definedName name="BExOA069IYGEKQJUMRNZAUYGHYEV" hidden="1">Addn [20]Info!$B$73:$T$80</definedName>
    <definedName name="BExOA24AWI5P528WA2MG9XPJ10L9" hidden="1">Addn [20]Info!$B$99:$AF$160</definedName>
    <definedName name="BExOAN8WWRQQ821CN5CAUAUS1H3H" hidden="1">Addn [20]Info!$B$4:$B$5</definedName>
    <definedName name="BExOAZZISMSAAP3ZVSJOPBGSEBYJ" hidden="1">Addn [20]Info!$B$38:$T$71</definedName>
    <definedName name="BExOBDGX77AE6KDSC3Q8QBAKF7OZ" hidden="1">SEU Driver [25]Cd!$A$9:$B$9</definedName>
    <definedName name="BExOBFF4KANUZYUK37E4232RPCZ5" hidden="1">SEU Func Area by [24]Driver!$A$8:$B$8</definedName>
    <definedName name="BExOBPB6HWKPTKGSF2NVW5BFY089" hidden="1">Addn [20]Info!$B$103:$T$212</definedName>
    <definedName name="BExOBT1YWRS72JU43NBHNLN3MX37" hidden="1">Functional [21]Costs!$B$7:$C$7</definedName>
    <definedName name="BExOCBHLUOJJ3UA543C0845URN9O" hidden="1">#REF!</definedName>
    <definedName name="BExOCI8BCYE5VOS7SW59CHPXQXD3" hidden="1">Functional [21]Costs!$B$11:$E$13</definedName>
    <definedName name="BExOCYKA8C9LCJZ97HE642EHO6MV" hidden="1">#REF!</definedName>
    <definedName name="BExOCZ0IZA0NXKV7K1DZEZBNRTDZ" hidden="1">[0]!SDGE Func [22]Area!$A$14:$B$14</definedName>
    <definedName name="BExOCZ0J5OGJ1P4AGO1KSRW4EGU9" hidden="1">Addn [20]Info!$B$27:$T$38</definedName>
    <definedName name="BExOD3YNCD55OGF8FWVKI8E6ZHCX" hidden="1">Addn [20]Info!$B$3</definedName>
    <definedName name="BExODLSK4AXZMT0UQ7308DJ25A3X" hidden="1">Addn [20]Info!$B$209:$T$215</definedName>
    <definedName name="BExODTVTSFDRYVKXVTZMAYROJNAC" hidden="1">Addn [20]Info!$B$4:$B$5</definedName>
    <definedName name="BExOEATEHRPAAW59WRPVUXCSXWWM" hidden="1">Financial &amp; Non-[23]Financial!$B$14:$P$108</definedName>
    <definedName name="BExOECBC8K6R5WJMBKLK19FVPEIH" hidden="1">#REF!</definedName>
    <definedName name="BExOESNA0H1NRV4Z3HXFZAV6JNPO" hidden="1">SEU Driver by Func [26]Comm!$D$9:$E$9</definedName>
    <definedName name="BExOEWZU6X5T9E578SELNVKF8IT1" hidden="1">#REF!</definedName>
    <definedName name="BExOF6VWZ97OQ1MXBL3NB7Z9GHAD" hidden="1">SEU Func [22]Area!$D$23:$E$23</definedName>
    <definedName name="BExOFNINR8MYGMZJAJWXQT3V0DRI" hidden="1">#REF!</definedName>
    <definedName name="BExOFYR5NL8NL19S6KEG4ONIU4H4" hidden="1">SEU Func Comm by [24]Driver!$A$16:$B$16</definedName>
    <definedName name="BExOG106RFCPYHFQJP0S6YDXA8WY" hidden="1">Financial &amp; Non-[23]Financial!$B$7:$C$9</definedName>
    <definedName name="BExOG63K269Z3JX8RAXAOV5RFA6S" hidden="1">SEU Func Comm by [24]Driver!$A$3:$B$3</definedName>
    <definedName name="BExOG8HWP4K3ABV2RW47ERMG54WX" hidden="1">SEU Func [22]Area!$A$1:$A$1</definedName>
    <definedName name="BExOG8SO9ZNSX3LX33TCRGER0FC5" hidden="1">Addn [20]Info!$B$102:$T$211</definedName>
    <definedName name="BExOGGL7DY6KAFJ3BT9C5DDB2DMN" hidden="1">#REF!</definedName>
    <definedName name="BExOGUDJ29BYVV2DFL766H2VHS9P" hidden="1">Addn [20]Info!$B$73:$T$80</definedName>
    <definedName name="BExOGXO35C5VQTEPYOMAXTTGK35G" hidden="1">Functional [21]Costs!$B$14:$AC$317</definedName>
    <definedName name="BExOHGUL493OFL92WUO5941UNVAF" hidden="1">#REF!</definedName>
    <definedName name="BExOHJZZKRW8MLWKB8ZPBTDFT1NN" hidden="1">Functional [21]Costs!$F$11:$F$12</definedName>
    <definedName name="BExOJ4XVI6RIYLYK2Z74M5KI02TX" hidden="1">#REF!</definedName>
    <definedName name="BExOJEOL8KHOSO8KJA1RDXFGIAC7" hidden="1">SEU Driver by Func [22]Area!$D$13:$E$13</definedName>
    <definedName name="BExOJJ6GSDEMS1GWKT2EHSUUP616" hidden="1">Addn [20]Info!$B$13:$T$26</definedName>
    <definedName name="BExOK5I6MPNO5GXXJQESFQBM82FB" hidden="1">Addn [20]Info!$B$13:$T$26</definedName>
    <definedName name="BExOKB76IASP45CDFUS9NBC6S8ID" hidden="1">#REF!</definedName>
    <definedName name="BExOKCJURL6UU68VOLAM5OSCNJUV" hidden="1">[0]!SDGE Func [22]Area!$D$10:$E$10</definedName>
    <definedName name="BExOLEGH73PP7GBMUFDRSXY7QCGF" hidden="1">Addn [20]Info!$B$217:$T$225</definedName>
    <definedName name="BExOM0C3ZT7OZ02ETIUHWUYMX0RH" hidden="1">#REF!</definedName>
    <definedName name="BExONUPYFRBOE82K597FNCKB2HNV" hidden="1">SEU Func [22]Area!$D$20:$E$20</definedName>
    <definedName name="BExOOGLMRXXY80EY8PMUW7M6NGBT" hidden="1">Functional [21]Costs!$B$11:$E$13</definedName>
    <definedName name="BExOQAU418SOUHRKKHCQ7XH3N1UG" hidden="1">#REF!</definedName>
    <definedName name="BExQ2YIINOU9OPZUELI88344M3RN" hidden="1">SEU Driver by Func [26]Comm!$D$13:$E$13</definedName>
    <definedName name="BExQ3EZXMYF6SC2MDLM85CBCD7NU" hidden="1">SEU Func [22]Area!$A$4:$B$4</definedName>
    <definedName name="BExQ3LLAZX8BH6YDVV2IJ97BR385" hidden="1">Addn [20]Info!$B$99:$AF$160</definedName>
    <definedName name="BExQ3VMNX0N9RDUPVIRP8O2P94JM" hidden="1">#REF!</definedName>
    <definedName name="BExQ3XFEYJSJLWP8XJNQY5ER1QTA" hidden="1">Addn [20]Info!$B$212:$T$218</definedName>
    <definedName name="BExQ3ZTP2E66EKF82DXHNW6OWQVU" hidden="1">Addn [20]Info!$B$73:$T$80</definedName>
    <definedName name="BExQ4AWYCTIYAGZI30IIHJRMK9QG" hidden="1">SEU Func [22]Area!$D$5:$E$5</definedName>
    <definedName name="BExQ4CPOM6QGR639Q3KY4ECMC332" hidden="1">SCG Func [22]Area!$D$10:$E$10</definedName>
    <definedName name="BExQ4F9B38CP2K9VITUCWBF1V0CS" hidden="1">Addn [20]Info!$B$73:$T$80</definedName>
    <definedName name="BExQ4I9DCQNTO5R0AAS2BVIQ0LU0" hidden="1">Addn [20]Info!$B$8:$C$9</definedName>
    <definedName name="BExQ4MG9P145QUW5CV2HFKQNQIPD" hidden="1">SCG Func [22]Area!$D$12:$E$12</definedName>
    <definedName name="BExQ4Q77K0YR2IE6YWVW9WWVOXVJ" hidden="1">Addn [20]Info!$B$14:$AF$96</definedName>
    <definedName name="BExQ4QNIBAMQ3SZ3YUJTHQ453ECA" hidden="1">[0]!SDGE Func [22]Area!$A$15:$B$15</definedName>
    <definedName name="BExQ50E33GY7AGKBQS7CUT71NA7V" hidden="1">Functional [21]Costs!$B$31:$T$320</definedName>
    <definedName name="BExQ51A9NLA2Z0BHSZ3HH003DUV6" hidden="1">#REF!</definedName>
    <definedName name="BExQ6RBQUCKWWHR49B00BM7NJKBU" hidden="1">SEU Driver [25]Cd!$D$4:$E$4</definedName>
    <definedName name="BExQ7H8Z4JZEKV7DKRN8IR7L8LN4" hidden="1">SEU Driver by Func [26]Comm!$A$6:$B$6</definedName>
    <definedName name="BExQ7M718ZLUNZ31YFPZU417O6AS" hidden="1">Addn [20]Info!$B$3</definedName>
    <definedName name="BExQ7YS7NL71BNL8X2TPIZ4UFABT" hidden="1">SCG Func [22]Area!$A$13:$B$13</definedName>
    <definedName name="BExQ88OA9QG61T9Y6ICP4LHO80L4" hidden="1">#REF!</definedName>
    <definedName name="BExQ8P082ADH0GHYHNAS5H76LODT" hidden="1">Addn [20]Info!$B$79:$T$101</definedName>
    <definedName name="BExQ8ZN66PYJPS4NA56Y8ZW76WHA" hidden="1">SEU Driver [25]Cd!$D$7:$E$7</definedName>
    <definedName name="BExQ9KH5NBG3I2WC91XLCXADHCY8" hidden="1">Addn [20]Info!$B$209:$T$215</definedName>
    <definedName name="BExQ9P9MV7LZESESTQODI5LPS43P" hidden="1">#REF!</definedName>
    <definedName name="BExQ9RYW8PAJJS7C5ROAMSOU24FA" hidden="1">SEU Func [22]Area!$D$18:$E$18</definedName>
    <definedName name="BExQABQUO054C0TGXGU1E178CJ78" hidden="1">Functional [21]Costs!$G$11:$G$12</definedName>
    <definedName name="BExQAI6W93U5E8GKHSEMYVCOQDTK" hidden="1">Financial &amp; Non-[23]Financial!$B$11:$E$12</definedName>
    <definedName name="BExQAJJDG87VXDZVZ6L4TVFA43G8" hidden="1">Addn [20]Info!$B$39:$T$72</definedName>
    <definedName name="BExQAX0XGWFG7U8J58T1B6GLBTPQ" hidden="1">Financial &amp; Non-[23]Financial!$B$186:$P$190</definedName>
    <definedName name="BExQAXMHIUFR2SXTYEOXH1IU7FI6" hidden="1">SEU Func [22]Area!$D$3:$E$3</definedName>
    <definedName name="BExQB7O1191BXM70J8YLKLI37EI7" hidden="1">SEU Func [22]Area!$A$19:$B$19</definedName>
    <definedName name="BExQBAYQL3L2GL45IPXO9PHQXN1E" hidden="1">Addn [20]Info!$B$3</definedName>
    <definedName name="BExQBB9D8E92R7TZYZR39OAYKBAZ" hidden="1">Financial &amp; Non-[23]Financial!$B$110:$P$133</definedName>
    <definedName name="BExQBIB0AV5H6PRIUIV5BP99WOGP" hidden="1">Addn [20]Info!$G$11:$G$13</definedName>
    <definedName name="BExQBNEFP57K3WT5RWPEKXN96DSN" hidden="1">Financial &amp; Non-[23]Financial!$B$7:$C$9</definedName>
    <definedName name="BExQBOG43NUN0YPBOQ9ELQJM1KK8" hidden="1">[0]!SDGE Func [22]Area!$A$1:$A$1</definedName>
    <definedName name="BExQBR56XC5DKOS6VWQSM0V1CNVK" hidden="1">#REF!</definedName>
    <definedName name="BExQBW8N109R7HBQWZ3ITXTT9NHA" hidden="1">Functional [21]Costs!$B$31:$T$320</definedName>
    <definedName name="BExQBWE35QPYV14IAX9WA9PCLLJY" hidden="1">Addn [20]Info!$B$3</definedName>
    <definedName name="BExQBY1CRDVJQUXD8WTG2HO8S4YY" hidden="1">SEU Func [22]Area!$A$16:$B$16</definedName>
    <definedName name="BExQC1SAIBSAVSD80NWIIEFTRS3Y" hidden="1">Functional [21]Costs!$G$11:$G$12</definedName>
    <definedName name="BExQC4HFIQGF0THKO9JUJ176I5VA" hidden="1">Addn [20]Info!$B$212:$T$215</definedName>
    <definedName name="BExQC64OAI7X1A7H5G4EY9HZ49MV" hidden="1">#REF!</definedName>
    <definedName name="BExQCE7ZNNHRB6G2DUALPAL71S7T" hidden="1">Functional [21]Costs!$B$14:$U$317</definedName>
    <definedName name="BExQDBHMVN97D3TGXA85E63CUF4N" hidden="1">Functional [21]Costs!$B$8:$C$9</definedName>
    <definedName name="BExQDTBJ9AGB4D3JCXZIKRH2A2D5" hidden="1">Addn [20]Info!$B$3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hidden="1">Addn [20]Info!$B$7:$C$7</definedName>
    <definedName name="BExQF8PX3T0UZ31CITIWEECBCOAL" hidden="1">Functional [21]Costs!$B$31:$T$320</definedName>
    <definedName name="BExQF9M8VIR56ZOVRGEBOWN7GO00" hidden="1">SEU Func [22]Area!$A$24:$B$24</definedName>
    <definedName name="BExQFGNXSCIRLDX9X8H4IFN7BU6G" hidden="1">Addn [20]Info!$B$8:$C$9</definedName>
    <definedName name="BExQFJNSW29Z2GQS47388QSKTAUO" hidden="1">SCG Func [22]Area!$A$13:$B$13</definedName>
    <definedName name="BExQGCVQ27XJRQKLCQK0I6SYJE7A" hidden="1">Addn [20]Info!$B$38:$T$71</definedName>
    <definedName name="BExQH3EIE5OI9AO9NWINKTO0YUUD" hidden="1">Addn [20]Info!$B$13:$T$26</definedName>
    <definedName name="BExQHFJJZ453I91O5R4SDT3R49II" hidden="1">SEU Driver by Func [22]Area!$A$19:$A$20</definedName>
    <definedName name="BExQHZMB7G35XFLCF1VPENGXTKW0" hidden="1">Addn [20]Info!$B$102:$T$211</definedName>
    <definedName name="BExQI02KWITK4JLIL36ZOHLBKGOI" hidden="1">SCG Func [22]Area!$A$5:$B$5</definedName>
    <definedName name="BExQIBRDPH5X5EPOQ8ANRD6ERSRY" hidden="1">SEU Func [22]Area!$D$22:$E$22</definedName>
    <definedName name="BExQIJP8AMPRS9ZOFYPUX3QT9DCA" hidden="1">Functional [21]Costs!$G$10:$G$11</definedName>
    <definedName name="BExQJCMBSTIP2LZ3JXXJL7FSJSS8" hidden="1">#REF!</definedName>
    <definedName name="BExQJZ3KTKDHMDLW85FULTC2WAOQ" hidden="1">Addn [20]Info!$B$73:$T$80</definedName>
    <definedName name="BExQK46ZM2Z2JWNYU3EBRZNRK5MJ" hidden="1">Functional [21]Costs!$B$14:$T$317</definedName>
    <definedName name="BExQKE31SV6EH8DAMJ4EKHYJ1P38" hidden="1">Financial &amp; Non-[23]Financial!$F$11:$F$12</definedName>
    <definedName name="BExQLT1AL7DPIH2ZF0N3ZYXJ1GHG" hidden="1">Addn [20]Info!$B$27:$T$38</definedName>
    <definedName name="BExRZJTMRQ7D3UKMUG3FEBZ9YQQX" hidden="1">Addn [20]Info!$B$4:$B$5</definedName>
    <definedName name="BExS0CW83OA5EKXM0L8HVKRWC1YA" hidden="1">Financial &amp; Non-[23]Financial!$B$178:$P$226</definedName>
    <definedName name="BExS0XVC7U1OIU7C1GPZRS02K0DW" hidden="1">Addn [20]Info!$B$7:$C$7</definedName>
    <definedName name="BExS14WZRDFAFITC69DNKWQIIAQF" hidden="1">SEU Func [22]Area!$A$28:$B$28</definedName>
    <definedName name="BExS15TDWNEFSC2K12R64B21U2ER" hidden="1">Functional [21]Costs!$B$4:$B$5</definedName>
    <definedName name="BExS1HNH5O7LQM1GGJD5FZBHMXIZ" hidden="1">Functional [21]Costs!$B$7:$C$7</definedName>
    <definedName name="BExS1THRUXZ3XVPW1XBQ0VHO9XZG" hidden="1">#REF!</definedName>
    <definedName name="BExS22HGR6D9MS67P2DUB6FX24ME" hidden="1">Addn [20]Info!$G$10:$G$11</definedName>
    <definedName name="BExS27Q6D7DI1Q7103RY4N5FI5PJ" hidden="1">SEU Func [22]Area!$D$1:$D$1</definedName>
    <definedName name="BExS2AFAU71CEY0E9IAK4MDRPQDP" hidden="1">SEU Driver [25]Cd!$A$3:$B$3</definedName>
    <definedName name="BExS2L7PYAVKNHNOB8UKRX2OUN1E" hidden="1">Addn [20]Info!$B$14:$T$27</definedName>
    <definedName name="BExS2LD0JHQATS4KKDF08NLIQEAN" hidden="1">#REF!</definedName>
    <definedName name="BExS3GTXOY2FXN3KKUNPQ3ZKWQYD" hidden="1">Functional [21]Costs!$B$31:$T$320</definedName>
    <definedName name="BExS3IBWQW51YD19V9XINRZFT37D" hidden="1">SCG Func [22]Area!$D$4:$E$4</definedName>
    <definedName name="BExS5E7O0CG4P3U6O2SO3KUCWN1X" hidden="1">SEU Func Area by [24]Driver!$A$11:$B$11</definedName>
    <definedName name="BExS5P5DSMPM6QC2J47S4OZBSBHC" hidden="1">Addn [20]Info!$B$73:$T$80</definedName>
    <definedName name="BExS6BBUJZ443Z7JD9XISA4VZKCZ" hidden="1">Addn [20]Info!$B$11:$E$13</definedName>
    <definedName name="BExS6L7WWB2AY9B9CRX0B8ZY9RA8" hidden="1">SEU Func [22]Area!$D$27:$E$27</definedName>
    <definedName name="BExS71EJ95OT904Y464LA98EUX0O" hidden="1">SEU Driver [25]Cd!$A$8:$B$8</definedName>
    <definedName name="BExS74ZZJS8RDGXS0N33F8LO0AFI" hidden="1">Addn [20]Info!$G$10:$G$11</definedName>
    <definedName name="BExS7676U1G43C4AGI7V2CFIXGKK" hidden="1">Addn [20]Info!$B$100:$T$208</definedName>
    <definedName name="BExS7EQKJUS1O1G09IC8BBF8NRPS" hidden="1">Addn [20]Info!$B$73:$T$80</definedName>
    <definedName name="BExS7LBYUQW02NWJUC50AL0QB0BC" hidden="1">Financial &amp; Non-[23]Financial!$B$8:$C$9</definedName>
    <definedName name="BExS7YTGMRL7M5AEAHTR6TGX3RR8" hidden="1">SEU Func [22]Area!$D$16:$E$16</definedName>
    <definedName name="BExS847PDPFPGR9EP7XAP65DFG7M" hidden="1">[0]!SDGE Func [22]Area!$A$8:$B$8</definedName>
    <definedName name="BExS85UYRGDWA1N1YMZMLPMIHY16" hidden="1">Functional [21]Costs!$B$8:$C$9</definedName>
    <definedName name="BExS8JHZR5RYMXHS2BZ2JA581YEQ" hidden="1">Addn [20]Info!$B$78:$T$100</definedName>
    <definedName name="BExS8O55M4IV5UFZ5R62V7SLJ794" hidden="1">[0]!SDGE Func [22]Area!$D$12:$E$12</definedName>
    <definedName name="BExS8YBZRN2SAB1Z0QWD4LTW9TDE" hidden="1">Functional [21]Costs!$B$31:$T$320</definedName>
    <definedName name="BExS92J2YMOU1BT56VOUDKZDW6A0" hidden="1">#REF!</definedName>
    <definedName name="BExS9GBD3ODEHQK243A1KHFPZYXP" hidden="1">Addn [20]Info!$B$38:$T$71</definedName>
    <definedName name="BExS9MLY4GW7OKN0XXA2VQD67RGS" hidden="1">Addn [20]Info!$B$73:$T$80</definedName>
    <definedName name="BExSA9360W0NPEKNF7C3CR2BIF43" hidden="1">#REF!</definedName>
    <definedName name="BExSA9JA5S47AC6EN7JNC33559GG" hidden="1">Addn [20]Info!$B$209:$T$215</definedName>
    <definedName name="BExSAAABPYLIZ3RACZBIINEB79RU" hidden="1">SCG Func [22]Area!$A$15:$B$15</definedName>
    <definedName name="BExSAJVMJRYEBRP8HQWAPVT0353Z" hidden="1">Addn [20]Info!$B$102:$T$211</definedName>
    <definedName name="BExSAW5YGBMQXDRHNJ9VPN83LHSB" hidden="1">Functional [21]Costs!$G$11:$G$12</definedName>
    <definedName name="BExSAW5ZRWKHR68VG5SX1JML8SNU" hidden="1">Functional [21]Costs!$B$4:$B$5</definedName>
    <definedName name="BExSAWM3SJ0NQCZI3M5EFF951Z2K" hidden="1">Addn [20]Info!$B$4:$B$5</definedName>
    <definedName name="BExSB1UZKPUMJUW88VY9HKCP4CFU" hidden="1">SEU Func [22]Area!$D$24:$E$24</definedName>
    <definedName name="BExSBAP6KF35RVGGDKFOONVUDTGR" hidden="1">SCG Func [22]Area!$A$9:$B$9</definedName>
    <definedName name="BExSE38VOP5A8ZMOW0LCZQMB29NN" hidden="1">SEU Driver by Func [26]Comm!$D$5:$E$5</definedName>
    <definedName name="BExSEAAHYKQPG6QN01IQZ5CUBS2K" hidden="1">#REF!</definedName>
    <definedName name="BExSEIZETXYIPL1RRGCTK4JXUNP0" hidden="1">Addn [20]Info!$B$79:$T$101</definedName>
    <definedName name="BExSEV4BF77D27E3QM36R4SX620Q" hidden="1">SEU Func [22]Area!$A$37:$A$38</definedName>
    <definedName name="BExSF9YBJY4NI59SIYVUVB0RHOF4" hidden="1">Functional [21]Costs!$B$25:$T$314</definedName>
    <definedName name="BExSFKFYRGFMQJN4JIPPK7PMC8LE" hidden="1">Functional [21]Costs!$B$8:$C$9</definedName>
    <definedName name="BExSFSJAMB7T9SL3A6XQO78A30PE" hidden="1">SEU Driver [25]Cd!$D$6:$E$6</definedName>
    <definedName name="BExSFY2ZNJ80BO8WBGH184HA98EK" hidden="1">SEU Func [22]Area!$D$18:$E$18</definedName>
    <definedName name="BExSG4DJUVP24UH00G6C9BCFI6KA" hidden="1">Addn [20]Info!$B$79:$T$101</definedName>
    <definedName name="BExSGJ7K26U35ER7JUE8V684SFCE" hidden="1">Financial &amp; Non-[23]Financial!$B$178:$P$226</definedName>
    <definedName name="BExSHBOKDMINRDJ7YNYDLKHU9GYY" hidden="1">[0]!SDGE Func [22]Area!$D$14:$E$14</definedName>
    <definedName name="BExSHLVF6TPM309S368ESB5ZGZSP" hidden="1">SCG Func [22]Area!$A$19:$A$20</definedName>
    <definedName name="BExSI4R6BJRHRQC9AWQ19WPYBQDS" hidden="1">Functional [21]Costs!$B$7:$C$7</definedName>
    <definedName name="BExTUGQR5U2JKKM690XNDR2KSDO9" hidden="1">Functional [21]Costs!$B$14:$AC$317</definedName>
    <definedName name="BExTVC7NJZ78QFKT4X882RHJ46GJ" hidden="1">SEU Func [22]Area!$A$8:$B$8</definedName>
    <definedName name="BExTW1DUQNAQI9BU8SWL2ICM9MMF" hidden="1">SEU Func [22]Area!$A$9:$B$9</definedName>
    <definedName name="BExTW36RCD2KY1OEX83Q1U3Q7VEN" hidden="1">Functional [21]Costs!$B$11:$E$13</definedName>
    <definedName name="BExTWB4LY5OOB9M8R4ZRF0CDR8EK" hidden="1">Financial &amp; Non-[23]Financial!$B$186:$P$190</definedName>
    <definedName name="BExTWFX7M4DNJT01LA4G7CYKCU8O" hidden="1">#REF!</definedName>
    <definedName name="BExTWHVA529RIUNUTJC4YZRSYACS" hidden="1">Financial &amp; Non-[23]Financial!$H$14:$Q$105</definedName>
    <definedName name="BExTXCQM8ASRFIRTKNOR4PRO5OQI" hidden="1">Addn [20]Info!$B$11:$D$11</definedName>
    <definedName name="BExTXFL0HOBZ8ZB5R9T82PYHU5LD" hidden="1">Addn [20]Info!$B$100:$T$208</definedName>
    <definedName name="BExTXI4TZTK03PE88UETNDSY061P" hidden="1">SEU Func [22]Area!$A$21:$B$21</definedName>
    <definedName name="BExTXJS8SUGI8GKGKFEGIVUS6NL5" hidden="1">#REF!</definedName>
    <definedName name="BExTXLFIV4QC0KSIFAQHYBBHL6A7" hidden="1">Addn [20]Info!$B$217:$T$225</definedName>
    <definedName name="BExTXO9YLF9CAC6Q4BUNFXBAI1YL" hidden="1">Financial &amp; Non-[23]Financial!$B$225:$P$229</definedName>
    <definedName name="BExTXSX81QFMW6EWWTT4O5BUXE8O" hidden="1">SEU Func Area by [24]Driver!$A$14:$B$14</definedName>
    <definedName name="BExTY2D1TYFKUGMS9CNKOTKEUAUO" hidden="1">SEU Driver by Func [26]Comm!$A$11:$B$11</definedName>
    <definedName name="BExTY8IBOV0WBKWN39KNO05GJANV" hidden="1">Addn [20]Info!$B$3</definedName>
    <definedName name="BExTYSL89HCHPV90LUSU3GFH5JUK" hidden="1">SEU Func [22]Area!$D$9:$E$9</definedName>
    <definedName name="BExTYTSE5DS5GVCLLE99W0UOASUK" hidden="1">Addn [20]Info!$B$38:$T$71</definedName>
    <definedName name="BExTYZS5UD8M7HDR9E0PODKMBZXD" hidden="1">Financial &amp; Non-[23]Financial!$B$8:$C$9</definedName>
    <definedName name="BExTZ6TNMOJ5PDJENKQE96SFGV3P" hidden="1">Functional [21]Costs!$B$8:$C$9</definedName>
    <definedName name="BExTZ9YUXERFPLEVBN6UFJC30OST" hidden="1">Addn [20]Info!$B$100:$T$208</definedName>
    <definedName name="BExTZEWYX1YUP70BVYTBFGUX1SQE" hidden="1">SEU Driver by Func [26]Comm!$A$12:$B$12</definedName>
    <definedName name="BExU084V35HGS6L43SZTIDZFNNC1" hidden="1">#REF!</definedName>
    <definedName name="BExU0L0SX2FA3UOSERNA0FM3PEIH" hidden="1">Addn [20]Info!$B$27:$T$38</definedName>
    <definedName name="BExU0Q4A10ERSVP7SWJI6U9PO2NP" hidden="1">Functional [21]Costs!$G$10:$G$11</definedName>
    <definedName name="BExU0S2G1O4WXMP72CEDPOXI142J" hidden="1">Functional [21]Costs!$F$10:$F$11</definedName>
    <definedName name="BExU1D71KFUC0C17OR6QOTK3HJJE" hidden="1">#REF!</definedName>
    <definedName name="BExU1JHM6ANRZOKY36E119FJC4EE" hidden="1">SEU Func [22]Area!$A$31:$A$32</definedName>
    <definedName name="BExU1MXNQJK6TLTPYNJSJE001XMZ" hidden="1">Addn [20]Info!$B$27:$T$38</definedName>
    <definedName name="BExU1UA1UGIHTJX2JD11TYO928EW" hidden="1">Functional [21]Costs!$B$8:$C$9</definedName>
    <definedName name="BExU28NRZOCQA8U63F8AUJ1Y7FK3" hidden="1">SEU Driver by Func [26]Comm!$A$14:$B$14</definedName>
    <definedName name="BExU2DWP55J27AU8B8CKOGIVB781" hidden="1">Financial &amp; Non-[23]Financial!$B$186:$P$190</definedName>
    <definedName name="BExU2DWP9UIV3GEL4Y02T4MV2ORF" hidden="1">SCG Func [22]Area!$D$13:$E$13</definedName>
    <definedName name="BExU2F3W26ICAF3HJW9RPFGOKBR0" hidden="1">SEU Func [22]Area!$D$6:$E$6</definedName>
    <definedName name="BExU2GB0KSJB3AT77LPHCUOU5GGE" hidden="1">Addn [20]Info!$B$11:$E$13</definedName>
    <definedName name="BExU2J03V3XKK7J5ZX79DJ0LWT66" hidden="1">Addn [20]Info!$B$3</definedName>
    <definedName name="BExU2KY5O8EK97N17EDEE7A1FHP9" hidden="1">Addn [20]Info!$B$7:$C$7</definedName>
    <definedName name="BExU31L47ZK7KE115K9FAOPVEQGD" hidden="1">#REF!</definedName>
    <definedName name="BExU3OT6VDS1Z4SCQYLJ3LJM2PR0" hidden="1">Addn [20]Info!$B$14</definedName>
    <definedName name="BExU3UYBXUBGYEE98K4TRVKL7FUB" hidden="1">SEU Func [22]Area!$A$5:$B$5</definedName>
    <definedName name="BExU43CFUF0V3VK8GVI1Y949580S" hidden="1">#REF!</definedName>
    <definedName name="BExU56LU0ARL1LXF13CWGDIA0IN2" hidden="1">SEU Func [22]Area!$A$20:$B$20</definedName>
    <definedName name="BExU5D78KSITYXG7VXZWPLK5G4N1" hidden="1">SEU Func Comm by [24]Driver!$D$10:$E$10</definedName>
    <definedName name="BExU6ENRRF42I7NS6GD7E2BA0239" hidden="1">SEU Driver by Func [22]Area!$D$10:$E$10</definedName>
    <definedName name="BExU6V57YFEF7IX53EO6FG5WUSPF" hidden="1">Addn [20]Info!$G$11:$G$12</definedName>
    <definedName name="BExU77QEPM7B7KZQXMTBVY6WPI9N" hidden="1">Addn [20]Info!$B$39:$T$72</definedName>
    <definedName name="BExU7DA1VML3K8MECQFN7LISYU1X" hidden="1">[0]!SDGE Func [22]Area!$A$16:$B$16</definedName>
    <definedName name="BExU7QM3TKX82E55OPIJYI4ORP5C" hidden="1">SEU Driver [25]Cd!$A$7:$B$7</definedName>
    <definedName name="BExU7TM1QUXVHZ7XMK0634JNVF0L" hidden="1">Addn [20]Info!$B$4:$B$5</definedName>
    <definedName name="BExU8OMN749NYEAOHVZEJ8P8DMPH" hidden="1">SCG Func [22]Area!$A$16:$B$16</definedName>
    <definedName name="BExU9NP18YOLSAUDJSCMGUB5Z118" hidden="1">Financial &amp; Non-[23]Financial!$B$135:$P$183</definedName>
    <definedName name="BExUAEINE7CLGS8QF9K19THYYNAW" hidden="1">Addn [20]Info!$B$14:$T$27</definedName>
    <definedName name="BExUAJM318DD50UGPK19FVC5IXPH" hidden="1">SEU Driver by Func [22]Area!$A$6:$B$6</definedName>
    <definedName name="BExUAK7MK6RBQT5QZEERWMC3TKOK" hidden="1">#REF!</definedName>
    <definedName name="BExUBMQ291WKF53PLYYX5DET9GEY" hidden="1">Addn [20]Info!$B$7:$C$7</definedName>
    <definedName name="BExUBPKGJ2HZG9P75M6T3ET52BNI" hidden="1">Financial &amp; Non-[23]Financial!$B$186:$P$190</definedName>
    <definedName name="BExUC20BWOTFQRDYY9IQ2FW6VB71" hidden="1">#REF!</definedName>
    <definedName name="BExUCJOV56HL5GHC911I59CMVU3Y" hidden="1">Addn [20]Info!$B$13:$T$26</definedName>
    <definedName name="BExUCXBQTG7WOKZJK4UA33YGMSAL" hidden="1">Addn [20]Info!$B$78:$T$100</definedName>
    <definedName name="BExUD77T5KGV1KMCMJKLTUEIUBOT" hidden="1">#REF!</definedName>
    <definedName name="BExUDHENQG3NPBADHSVALH1OMEQS" hidden="1">Addn [20]Info!$B$27:$T$38</definedName>
    <definedName name="BExVQLKII6YMTL20HLVTBTSXKPRG" hidden="1">SEU Func [22]Area!$A$7:$B$7</definedName>
    <definedName name="BExVR1GBDWIUZT0CFSN1CU5XTQHZ" hidden="1">SEU Driver [25]Cd!$A$5:$B$5</definedName>
    <definedName name="BExVRN15PJ1BT548WRJVE7PWW77Q" hidden="1">SEU Driver [25]Cd!$A$6:$B$6</definedName>
    <definedName name="BExVS0O0VVK0BLMC0WX8X4S7H30F" hidden="1">#REF!</definedName>
    <definedName name="BExVSQL9TJX91PI5EL0NPQ663IV1" hidden="1">Financial &amp; Non-[23]Financial!$B$131:$P$154</definedName>
    <definedName name="BExVSVJD23KTXSSLOWR4ELAVFUU4" hidden="1">Addn [20]Info!$B$38:$T$71</definedName>
    <definedName name="BExVSX6LRY95YK28YB787Z62GSU8" hidden="1">SEU Func Comm by [24]Driver!$A$9:$B$9</definedName>
    <definedName name="BExVTUR2AONP0W51JBNV7ULISXSW" hidden="1">SEU Driver by Func [26]Comm!$A$7:$B$7</definedName>
    <definedName name="BExVVO37O040HEMW9DCWKFR2IZ8X" hidden="1">SCG Func [22]Area!$A$16:$B$16</definedName>
    <definedName name="BExVVUTVHOGT5W5F5S9FSPT85DME" hidden="1">#REF!</definedName>
    <definedName name="BExVVY4MDQYOKD5KO5OE78CX0FQT" hidden="1">Addn [20]Info!$B$3</definedName>
    <definedName name="BExVW8WZZ8D43QOE36ETTY1C4U0N" hidden="1">Functional [21]Costs!$B$8:$C$9</definedName>
    <definedName name="BExVWG3ZF46Q1Y5LMBY96EBCWCTQ" hidden="1">SCG Func [22]Area!$D$4:$E$4</definedName>
    <definedName name="BExVXXLTLVPMHQ9YGP6F4NAE8XAF" hidden="1">Addn [20]Info!$B$3</definedName>
    <definedName name="BExVY1Y7IYT1CYLYSQVAOOFYYFEE" hidden="1">Functional [21]Costs!$B$7:$C$7</definedName>
    <definedName name="BExVZ2IIM7NJ0FNJL35T3IPB09RQ" hidden="1">SEU Driver [25]Cd!$A$19:$A$20</definedName>
    <definedName name="BExVZ7B4Y2NRBJYTDLC11BS9VK05" hidden="1">#REF!</definedName>
    <definedName name="BExVZESVRS1MAPCRIBHZSABWSDTM" hidden="1">Addn [20]Info!$B$99:$AF$160</definedName>
    <definedName name="BExVZHY5G2GCUTJC5TLMBRNLC43J" hidden="1">Financial &amp; Non-[23]Financial!$B$135:$P$183</definedName>
    <definedName name="BExW008AIXVYFYRH2P1XAEE5ZU3C" hidden="1">#REF!</definedName>
    <definedName name="BExW0A4CKTF6KCT8SOA5JRPCFGFB" hidden="1">#REF!</definedName>
    <definedName name="BExW0NGKMSQRK2LL1UQP8M6X5NSC" hidden="1">Addn [20]Info!$B$8:$C$9</definedName>
    <definedName name="BExW0Y3IHF05N34WK2LSEDEKZBI2" hidden="1">SEU Func [22]Area!$D$12:$E$12</definedName>
    <definedName name="BExW24NI3G8UBLYOJI2IFS2TXOQH" hidden="1">SEU Func Comm by [24]Driver!$D$5:$E$5</definedName>
    <definedName name="BExW2J1E62XAYXRG0MHY22YU9G5N" hidden="1">Addn [20]Info!$B$14:$AF$96</definedName>
    <definedName name="BExW2UFE0VTQ4GMXB3NKWB0MLQS2" hidden="1">Addn [20]Info!$B$27:$T$38</definedName>
    <definedName name="BExW2UFES6ZEQ4GZO08U2R6SACB5" hidden="1">Functional [21]Costs!$G$11:$G$12</definedName>
    <definedName name="BExW3A0GVMR7W0IG3FAG61PO39UY" hidden="1">Addn [20]Info!$B$102:$T$211</definedName>
    <definedName name="BExW3L3P8RSX64V6RKZLOXJJQFKC" hidden="1">SCG Func [22]Area!$A$1:$A$1</definedName>
    <definedName name="BExW3L8ZM2FIDYWWS285ZDN4MQL0" hidden="1">Addn [20]Info!$B$39:$T$72</definedName>
    <definedName name="BExW444QYWE12XOFBRD40G87G4B6" hidden="1">SEU Driver [25]Cd!$A$19:$A$20</definedName>
    <definedName name="BExW44VT52264L8A2P8TC2AMVSKI" hidden="1">Addn [20]Info!$B$13:$T$26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hidden="1">SEU Driver by Func [26]Comm!$D$11:$E$11</definedName>
    <definedName name="BExW54E9II3BY15VSHF7D3QBL21K" hidden="1">Financial &amp; Non-[23]Financial!$B$186:$P$190</definedName>
    <definedName name="BExW5852TSTSER7SLK4K2SCHR7OI" hidden="1">SEU Driver by Func [26]Comm!$D$3:$E$3</definedName>
    <definedName name="BExW5DU3OT1XDXRYH812SSKSXGYZ" hidden="1">SEU Func [22]Area!$D$8:$E$8</definedName>
    <definedName name="BExW5JOFZQ8GVHZD0EYGMA89L796" hidden="1">[0]!SDGE Func [22]Area!$A$11:$B$11</definedName>
    <definedName name="BExW5KA49ULVKQYGWVHCIO5NLJH7" hidden="1">SEU Func [22]Area!$D$5:$E$5</definedName>
    <definedName name="BExW6CGDVD0IID1G10TDJ1217F1J" hidden="1">SEU Driver [25]Cd!$D$10:$E$10</definedName>
    <definedName name="BExW78IQJ28QVTSPSF5RYF00RH9O" hidden="1">Addn [20]Info!$B$4:$B$5</definedName>
    <definedName name="BExW7BTDV3ZL43N2KQOYFU5ZWJA3" hidden="1">Addn [20]Info!$B$14:$AF$96</definedName>
    <definedName name="BExW7O93FSQL8845022ZCTYK15YJ" hidden="1">Addn [20]Info!$B$212:$T$218</definedName>
    <definedName name="BExW7PWHSLWGW4W6OL1OOBKSRXZW" hidden="1">Addn [20]Info!$B$27:$T$38</definedName>
    <definedName name="BExW7R3NRPHWT1H6S9GFSWLTPPUX" hidden="1">SEU Func [22]Area!$D$16:$E$16</definedName>
    <definedName name="BExW7SG4VF01KVUX3XETXJ0WWXBB" hidden="1">SEU Func Comm by [24]Driver!$A$19:$A$20</definedName>
    <definedName name="BExW851AJ4QQF2BY08FCPG1W9TC3" hidden="1">Functional [21]Costs!$B$7:$C$7</definedName>
    <definedName name="BExW8MPWKRBZZMXL13XW0M8MVU6A" hidden="1">#REF!</definedName>
    <definedName name="BExXMMY7K9SSUZ9P15Q89ZHBQCF8" hidden="1">SEU Func Comm by [24]Driver!$A$4:$B$4</definedName>
    <definedName name="BExXMXQMM8TNOSCG4JONY8VFM2EE" hidden="1">Addn [20]Info!$B$8:$C$9</definedName>
    <definedName name="BExXN0QHOOGNVJHEF6QL4ET2POZD" hidden="1">[0]!SDGE Func [22]Area!$D$11:$E$11</definedName>
    <definedName name="BExXN2J967PTBZGVGUY8NLKS24TR" hidden="1">Addn [20]Info!$B$38:$T$71</definedName>
    <definedName name="BExXN6QAKZ8C2F980ATAL486VR2V" hidden="1">SEU Driver by Func [26]Comm!$D$10:$E$10</definedName>
    <definedName name="BExXNBIYGBD8KCL4FI2BMF80ENYA" hidden="1">Addn [20]Info!$B$4:$B$5</definedName>
    <definedName name="BExXODFQWNNQHXCPLVEYEY4VOBS7" hidden="1">#REF!</definedName>
    <definedName name="BExXOGKYWK9ZP3F4MUJAVZN2JRO7" hidden="1">Addn [20]Info!$B$8:$C$9</definedName>
    <definedName name="BExXOS9R341ND4H1POY8R4EQJ7SO" hidden="1">#REF!</definedName>
    <definedName name="BExXOV4CEVAER3X96DRN4HH4BZHR" hidden="1">Addn [20]Info!$B$79:$T$101</definedName>
    <definedName name="BExXPFY5OVLL3K2K90TA90XRYLM6" hidden="1">Addn [20]Info!$B$209:$T$215</definedName>
    <definedName name="BExXPM8Q4BZDPOJ7U58824CNL7J9" hidden="1">Financial &amp; Non-[23]Financial!$B$8:$C$9</definedName>
    <definedName name="BExXPQAGQFSDEYV65RS08JVXQYYP" hidden="1">SEU Func [22]Area!$A$7:$B$7</definedName>
    <definedName name="BExXPRHMPBRCHUUJLBSARDLRE22E" hidden="1">Functional [21]Costs!$B$31:$T$320</definedName>
    <definedName name="BExXPV2Z6XDCZ280IE8KLAHDFJA1" hidden="1">Addn [20]Info!$B$79:$T$101</definedName>
    <definedName name="BExXPZ9ZF0LRZ3ZR6Y1DLV8HTHWV" hidden="1">Addn [20]Info!$G$11:$G$12</definedName>
    <definedName name="BExXRVM147SVXBLKLP710R2MO5MZ" hidden="1">Functional [21]Costs!$B$8:$C$9</definedName>
    <definedName name="BExXS4R2128DFU2LK3Q08XJ48S42" hidden="1">Addn [20]Info!$B$11:$E$13</definedName>
    <definedName name="BExXS98VZGW8QG56DGEJHU0JCJJZ" hidden="1">SEU Func [22]Area!$D$20:$E$20</definedName>
    <definedName name="BExXSH1EUOGXZIWDTB34ZHBBPLMB" hidden="1">Financial &amp; Non-[23]Financial!$G$11:$G$12</definedName>
    <definedName name="BExXSHHIMRQF6S8HC1AZXUGDWXY4" hidden="1">Addn [20]Info!$B$4:$B$5</definedName>
    <definedName name="BExXT7PP94GE3YW5BGV4U6HWCSPX" hidden="1">SEU Driver [25]Cd!$D$8:$E$8</definedName>
    <definedName name="BExXU7IY0NW19P11Z5YQ9BQIJSF3" hidden="1">Financial &amp; Non-[23]Financial!$B$8:$C$9</definedName>
    <definedName name="BExXUAIVBR3PR1QHJCUT03VW15Z3" hidden="1">#REF!</definedName>
    <definedName name="BExXUCX7X7M52508UFQKPKXBD9HV" hidden="1">[0]!SDGE Func [22]Area!$D$8:$E$8</definedName>
    <definedName name="BExXUDIQYO3NFEXLUKKBXFGL0I0J" hidden="1">SEU Func [22]Area!$A$11:$B$11</definedName>
    <definedName name="BExXV1SL2OKDY5I58V7R2CZ6UA1P" hidden="1">Addn [20]Info!$B$71:$T$78</definedName>
    <definedName name="BExXVYBBSBUSE5YCGR0CV4FQE3PC" hidden="1">Financial &amp; Non-[23]Financial!$B$7:$C$9</definedName>
    <definedName name="BExXW5NLB1XHUSNQW6YWXBK0FT19" hidden="1">Addn [20]Info!$F$11:$F$12</definedName>
    <definedName name="BExXW93RS0IWAZRQ9SOWQXERPYYZ" hidden="1">Functional [21]Costs!$B$7:$C$7</definedName>
    <definedName name="BExXXC28UJZ8MBCQMEGVPHY4ELL2" hidden="1">Addn [20]Info!$B$8:$C$9</definedName>
    <definedName name="BExXXLSZ3ABSM127FWVROEVGA4AY" hidden="1">#REF!</definedName>
    <definedName name="BExXXZ52JFPBQNR4WBNEGUSKAOTN" hidden="1">SEU Driver by Func [26]Comm!$A$13:$B$13</definedName>
    <definedName name="BExXYEVFU1HGZQVTNU9QVRVA90FT" hidden="1">Addn [20]Info!$B$102:$T$211</definedName>
    <definedName name="BExXYT9CBE76MDZW4OQUDY1SEKNE" hidden="1">Functional [21]Costs!$B$3</definedName>
    <definedName name="BExXYTK4Y0UMB5113GMQ1F9ETUD2" hidden="1">Addn [20]Info!$B$14:$AF$96</definedName>
    <definedName name="BExXZ3QYMWB5DEHAXEQ77MZ7FIZD" hidden="1">[0]!SDGE Func [22]Area!$A$13:$B$13</definedName>
    <definedName name="BExXZAXW8F8841455G1F7WXT41AX" hidden="1">[0]!SDGE Func [22]Area!$D$10:$E$10</definedName>
    <definedName name="BExXZNDLULS7L6GBKG9RU9OGHK9B" hidden="1">Addn [20]Info!$B$79:$T$101</definedName>
    <definedName name="BExXZWO3RC1R45A9M41GS6LPG2YW" hidden="1">Addn [20]Info!$B$7:$C$7</definedName>
    <definedName name="BExXZZTG1JTLYWJOFNYTGR4LALK3" hidden="1">Addn [20]Info!$B$73:$T$80</definedName>
    <definedName name="BExY0C3TNRDQV0J5SI0Q7GLE70KV" hidden="1">Addn [20]Info!$B$79:$T$101</definedName>
    <definedName name="BExY0DG9VW15FF7OROMAE5SYW4D5" hidden="1">Addn [20]Info!$B$212:$T$215</definedName>
    <definedName name="BExY0ECOZIOI49PB8W7AR8VPFOVW" hidden="1">#REF!</definedName>
    <definedName name="BExY0PL7UNAVZO1W5HALLPRU9V5X" hidden="1">#REF!</definedName>
    <definedName name="BExY28VU0NLLDWJFKP6DNWTZ559K" hidden="1">[0]!SDGE Func [22]Area!$A$4:$B$4</definedName>
    <definedName name="BExY2BVVO6QDY0L06G3J0MSGEXD8" hidden="1">[0]!SDGE Func [22]Area!$A$9:$B$9</definedName>
    <definedName name="BExY2EKSYYHFY4AFZ300ZXMLRXQY" hidden="1">Financial &amp; Non-[23]Financial!$B$7:$C$9</definedName>
    <definedName name="BExY2NKIEE5SPBOV26RNCSKNGTME" hidden="1">Addn [20]Info!$B$39:$T$72</definedName>
    <definedName name="BExY2NKIMXF1J464XZ175PYA8LDM" hidden="1">SEU Func [22]Area!$D$10:$E$10</definedName>
    <definedName name="BExY36AXKUMLUKD2VOB5XR70DGDI" hidden="1">SEU Func [22]Area!$D$13:$E$13</definedName>
    <definedName name="BExY3SXH7FESHTF7PBA3OYIXDH41" hidden="1">#REF!</definedName>
    <definedName name="BExY3WZ2QMSYT0BFBVQJIAPCHAQ1" hidden="1">Addn [20]Info!$B$73:$T$80</definedName>
    <definedName name="BExY3ZO5J0Z7QKACQUINFDZTRS77" hidden="1">Addn [20]Info!$B$14:$T$27</definedName>
    <definedName name="BExY48TCAQ2A1XRZ3RVHC0U8VYKQ" hidden="1">SEU Func Comm by [24]Driver!$A$8:$B$8</definedName>
    <definedName name="BExY58MMH9D4SBZCD1RWGTYBRDM8" hidden="1">#REF!</definedName>
    <definedName name="BExY5I7UKXBU395LXGBYD7PJ7IH3" hidden="1">SEU Func [22]Area!$A$6:$B$6</definedName>
    <definedName name="BExY60SU3PW0FE2YOFC1CR5A86CH" hidden="1">SEU Driver [25]Cd!$A$9:$B$9</definedName>
    <definedName name="BExY63SR27VPDZPXZK9KJCGTZ4TC" hidden="1">Addn [20]Info!$B$71:$T$78</definedName>
    <definedName name="BExY65LH73RB4VC5HW4RHGQ2KU8G" hidden="1">#REF!</definedName>
    <definedName name="BExY65LHY7ALMYBRAOKCXSFRLNEE" hidden="1">Addn [20]Info!$B$102:$T$211</definedName>
    <definedName name="BExZJQJI3TXMZTVPYBBJ0JI1C5LL" hidden="1">#REF!</definedName>
    <definedName name="BExZKA64CRCRYCU4JL6TH6AWM96S" hidden="1">Addn [20]Info!$B$11:$E$13</definedName>
    <definedName name="BExZKCPZD3M8NAZFUDJRYJ5OTIVJ" hidden="1">Functional [21]Costs!$G$10:$G$11</definedName>
    <definedName name="BExZKR3TTP07CE2NJKPT664GAJBL" hidden="1">Addn [20]Info!$B$7:$C$7</definedName>
    <definedName name="BExZL1LBSYTGVKE79Y97OBLA0SV6" hidden="1">SEU Driver [25]Cd!$A$16:$B$16</definedName>
    <definedName name="BExZLBC2PT5BA4MTL92QWIJ2AGNH" hidden="1">SCG Func [22]Area!$A$12:$B$12</definedName>
    <definedName name="BExZLUD4NEJMBSGQ93R045ELX10G" hidden="1">SEU Driver [25]Cd!$A$12:$B$12</definedName>
    <definedName name="BExZLX7QQ1MWG33LCZU8LVADH6MW" hidden="1">Addn [20]Info!$B$100:$T$208</definedName>
    <definedName name="BExZM07LCOTZXP3AS4WC2J3NTE7P" hidden="1">SCG Func [22]Area!$A$7:$B$7</definedName>
    <definedName name="BExZM7JVUMCAARUACRX7Z54WSG33" hidden="1">SEU Driver by Func [22]Area!$A$15:$B$15</definedName>
    <definedName name="BExZMIN2YY9W3WI8OAVQ37PKQZXZ" hidden="1">SCG Func [22]Area!$A$3:$B$3</definedName>
    <definedName name="BExZMQKY0YONB7YBTBQZH62T9MSU" hidden="1">[0]!SDGE Func [22]Area!$A$8:$B$8</definedName>
    <definedName name="BExZMQVWL07SCJOOFZWV45W59W8P" hidden="1">Addn [20]Info!$F$10:$F$11</definedName>
    <definedName name="BExZMXXD1Y91UP1BZXET9AXX4JII" hidden="1">Addn [20]Info!$B$78:$T$100</definedName>
    <definedName name="BExZN3X5WR9FLDRBMX48BRRVYSL4" hidden="1">Functional [21]Costs!$B$3</definedName>
    <definedName name="BExZNI0B4ZBV0GKJNGZKFKJP5RSC" hidden="1">Addn [20]Info!$B$4:$B$5</definedName>
    <definedName name="BExZNSN8EOTXU3NPY0CH5POL7VHK" hidden="1">[0]!SDGE Func [22]Area!$D$11:$E$11</definedName>
    <definedName name="BExZO0FQOS0A6MKLLZK71QNUN7MD" hidden="1">#REF!</definedName>
    <definedName name="BExZO64RDT6SCKXP96BLAVKAG3PC" hidden="1">Financial &amp; Non-[23]Financial!$F$11:$F$12</definedName>
    <definedName name="BExZOHYVOLL7CEQKABKO256H0X5I" hidden="1">SEU Func [22]Area!$A$26:$B$26</definedName>
    <definedName name="BExZOKYRP68DOEIM61IGQ1DB8P4J" hidden="1">Addn [20]Info!$B$79:$T$101</definedName>
    <definedName name="BExZP0UN89BUO3PISTBCWGLIZFUK" hidden="1">#REF!</definedName>
    <definedName name="BExZPEC5D2VVMMZUD002LXWG8LR9" hidden="1">#REF!</definedName>
    <definedName name="BExZPJ4S0GP2IXQ7LAPLCWMFWZ3Q" hidden="1">Addn [20]Info!$B$209:$T$215</definedName>
    <definedName name="BExZPL8B3I1BIDUU7TG45FWCOYDZ" hidden="1">Addn [20]Info!$B$79:$T$101</definedName>
    <definedName name="BExZPPVI1XTMHMZCVAPNZF9PF7DJ" hidden="1">#REF!</definedName>
    <definedName name="BExZPW0QM46H23LHKN8SUH8HX6MW" hidden="1">SEU Driver [25]Cd!$D$12:$E$12</definedName>
    <definedName name="BExZQ85NBN2EU2ZRQLIZ0PVW0MYW" hidden="1">#REF!</definedName>
    <definedName name="BExZQ8R77M02QC6H0KAB5KDZXXUB" hidden="1">Addn [20]Info!$B$7:$C$7</definedName>
    <definedName name="BExZQAURJGFEVTH5WDUKCLX5OG4A" hidden="1">SEU Driver by Func [22]Area!$A$13:$B$13</definedName>
    <definedName name="BExZQBAVLSDITVZABQBUSIONFI27" hidden="1">SEU Func Area by [24]Driver!$D$7:$E$7</definedName>
    <definedName name="BExZQI1P0I178HRXOOPNWFAS2VIA" hidden="1">Addn [20]Info!$B$7:$C$7</definedName>
    <definedName name="BExZQIHZQHMHTKFP59DZJH4ZZZ8M" hidden="1">Financial &amp; Non-[23]Financial!$G$11:$G$12</definedName>
    <definedName name="BExZQP8NTJXT3ICCJ063MLH8R2DJ" hidden="1">Addn [20]Info!$B$73:$T$80</definedName>
    <definedName name="BExZQQ50WUMM8VB4VUHAS899QSKM" hidden="1">Functional [21]Costs!$B$3</definedName>
    <definedName name="BExZQQLACR36QE2H9QLJIMC6DKUF" hidden="1">Addn [20]Info!$F$11:$F$12</definedName>
    <definedName name="BExZQTL645FGXAGZN3H0JZRQ7LUR" hidden="1">#REF!</definedName>
    <definedName name="BExZRE478DWX5VCA7IGKSI1B7GXR" hidden="1">#REF!</definedName>
    <definedName name="BExZRHK6WKHBZAZ1OYTJ21PDV8ZA" hidden="1">[0]!SDGE Func [22]Area!$A$19:$A$20</definedName>
    <definedName name="BExZSK81EL5HVZ4OMYKFQTE2AHH7" hidden="1">SCG Func [22]Area!$D$8:$E$8</definedName>
    <definedName name="BExZSMBLFJUAETWYUF2BWVQLJY3M" hidden="1">Addn [20]Info!$B$39:$T$72</definedName>
    <definedName name="BExZTCJLBH274W38QM1V5VGUDMCW" hidden="1">Additional Information [27]PPM!$V$12</definedName>
    <definedName name="BExZUMEF5J9HDYPW4B9JV6QZPKSU" hidden="1">#REF!</definedName>
    <definedName name="BExZVLREJY54J4EBQ1LYNA2L5TBI" hidden="1">#REF!</definedName>
    <definedName name="BExZW6QPLD8LO3MT3M2K30BRWMDD" hidden="1">Addn [20]Info!$B$7:$C$7</definedName>
    <definedName name="BExZWB8JK798ELJ571MPH730R8L2" hidden="1">Addn [20]Info!$B$3</definedName>
    <definedName name="BExZWF4UI7RVJ13R324EGACALMPV" hidden="1">SEU Func [22]Area!$D$26:$E$26</definedName>
    <definedName name="BExZWMXBV8BPWJ3LCUYF7NKKPVOD" hidden="1">Addn [20]Info!$B$38:$T$71</definedName>
    <definedName name="BExZXBSVAPBHW1XT1TBS81NYDSMU" hidden="1">SEU Driver by Func [26]Comm!$D$7:$E$7</definedName>
    <definedName name="BExZXC901CXXL8R9X8S9WEQN00CY" hidden="1">[0]!SDGE Func [22]Area!$A$10:$B$10</definedName>
    <definedName name="BExZXFJNR29TXZ23G7D8IOQKJC6N" hidden="1">#REF!</definedName>
    <definedName name="BExZXW12MHM5C60916XT6CZRSL4I" hidden="1">SEU Func [22]Area!$D$12:$E$12</definedName>
    <definedName name="BExZY0Z27CDKC1VBMKTHN76QQ5HH" hidden="1">SEU Func [22]Area!$A$26:$B$26</definedName>
    <definedName name="BExZY2MHNMJG69CJQF6CLG6X4FGQ" hidden="1">Addn [20]Info!$B$14:$T$27</definedName>
    <definedName name="BExZYTLJPA30ZEL7XLOBQL25QCR9" hidden="1">Addn [20]Info!$F$10:$F$11</definedName>
    <definedName name="BExZZ06XR7L2B6NK62DRT95GUSPY" hidden="1">Addn [20]Info!$B$8:$C$9</definedName>
    <definedName name="BExZZ8FJDLK9Y296DUJ16REILSZN" hidden="1">SEU Driver [25]Cd!$A$8:$B$8</definedName>
    <definedName name="BExZZSYK2WCS5ZY430FJ0E56O3BG" hidden="1">SCG Func [22]Area!$D$7:$E$7</definedName>
    <definedName name="BG_Del" hidden="1">15</definedName>
    <definedName name="BG_Ins" hidden="1">4</definedName>
    <definedName name="BG_Mod" hidden="1">6</definedName>
    <definedName name="CBWorkbookPriority" hidden="1">-21190210</definedName>
    <definedName name="cccc" hidden="1">{"variance_page",#N/A,FALSE,"template"}</definedName>
    <definedName name="ccccccc" hidden="1">{"SourcesUses",#N/A,TRUE,#N/A;"TransOverview",#N/A,TRUE,"CFMODEL"}</definedName>
    <definedName name="ccccccccccccccc" hidden="1">{"SourcesUses",#N/A,TRUE,"FundsFlow";"TransOverview",#N/A,TRUE,"FundsFlow"}</definedName>
    <definedName name="CEI_Info1" hidden="1">[19]Title!$A$38</definedName>
    <definedName name="CORPTAX_DATAMAPDEFINITIONS_DataMap_1" hidden="1">#REF!</definedName>
    <definedName name="CORPTAX_DATAMAPDEFINITIONS_DataMap_2" hidden="1">#REF!</definedName>
    <definedName name="CreditStats" hidden="1">#REF!</definedName>
    <definedName name="CurrentRangeName" hidden="1">[19]Title!$AT$25</definedName>
    <definedName name="d" localSheetId="16" hidden="1">{#N/A,#N/A,TRUE,"SDGE";#N/A,#N/A,TRUE,"GBU";#N/A,#N/A,TRUE,"TBU";#N/A,#N/A,TRUE,"EDBU";#N/A,#N/A,TRUE,"ExclCC"}</definedName>
    <definedName name="d" localSheetId="19" hidden="1">{#N/A,#N/A,TRUE,"SDGE";#N/A,#N/A,TRUE,"GBU";#N/A,#N/A,TRUE,"TBU";#N/A,#N/A,TRUE,"EDBU";#N/A,#N/A,TRUE,"ExclCC"}</definedName>
    <definedName name="d" localSheetId="36" hidden="1">{#N/A,#N/A,TRUE,"SDGE";#N/A,#N/A,TRUE,"GBU";#N/A,#N/A,TRUE,"TBU";#N/A,#N/A,TRUE,"EDBU";#N/A,#N/A,TRUE,"ExclCC"}</definedName>
    <definedName name="d" localSheetId="37" hidden="1">{#N/A,#N/A,TRUE,"SDGE";#N/A,#N/A,TRUE,"GBU";#N/A,#N/A,TRUE,"TBU";#N/A,#N/A,TRUE,"EDBU";#N/A,#N/A,TRUE,"ExclCC"}</definedName>
    <definedName name="d" localSheetId="41" hidden="1">{#N/A,#N/A,TRUE,"SDGE";#N/A,#N/A,TRUE,"GBU";#N/A,#N/A,TRUE,"TBU";#N/A,#N/A,TRUE,"EDBU";#N/A,#N/A,TRUE,"ExclCC"}</definedName>
    <definedName name="d" localSheetId="52" hidden="1">{#N/A,#N/A,TRUE,"SDGE";#N/A,#N/A,TRUE,"GBU";#N/A,#N/A,TRUE,"TBU";#N/A,#N/A,TRUE,"EDBU";#N/A,#N/A,TRUE,"ExclCC"}</definedName>
    <definedName name="d" localSheetId="4" hidden="1">{#N/A,#N/A,TRUE,"SDGE";#N/A,#N/A,TRUE,"GBU";#N/A,#N/A,TRUE,"TBU";#N/A,#N/A,TRUE,"EDBU";#N/A,#N/A,TRUE,"ExclCC"}</definedName>
    <definedName name="d" localSheetId="57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CHART4" localSheetId="16" hidden="1">#REF!</definedName>
    <definedName name="DCHART4" localSheetId="33" hidden="1">#REF!</definedName>
    <definedName name="DCHART4" localSheetId="52" hidden="1">#REF!</definedName>
    <definedName name="DCHART4" localSheetId="5" hidden="1">#REF!</definedName>
    <definedName name="DCHART4" hidden="1">#REF!</definedName>
    <definedName name="dd" localSheetId="33" hidden="1">[28]A!#REF!</definedName>
    <definedName name="dd" localSheetId="52" hidden="1">[28]A!#REF!</definedName>
    <definedName name="dd" localSheetId="5" hidden="1">[28]A!#REF!</definedName>
    <definedName name="dd" hidden="1">[28]A!#REF!</definedName>
    <definedName name="ddd" hidden="1">{"SourcesUses",#N/A,TRUE,#N/A;"TransOverview",#N/A,TRUE,"CFMODEL"}</definedName>
    <definedName name="dddd" localSheetId="33" hidden="1">[28]A!#REF!</definedName>
    <definedName name="dddd" localSheetId="52" hidden="1">[28]A!#REF!</definedName>
    <definedName name="dddd" localSheetId="5" hidden="1">[28]A!#REF!</definedName>
    <definedName name="dddd" hidden="1">[28]A!#REF!</definedName>
    <definedName name="dddddddd" hidden="1">{"Income Statement",#N/A,FALSE,"CFMODEL";"Balance Sheet",#N/A,FALSE,"CFMODEL"}</definedName>
    <definedName name="ddddddddddddddd" hidden="1">{"SourcesUses",#N/A,TRUE,"CFMODEL";"TransOverview",#N/A,TRUE,"CFMODEL"}</definedName>
    <definedName name="dddddddddddddddddd" hidden="1">{"SourcesUses",#N/A,TRUE,#N/A;"TransOverview",#N/A,TRUE,"CFMODEL"}</definedName>
    <definedName name="ddddddddddddddddddddd" hidden="1">{"SourcesUses",#N/A,TRUE,"FundsFlow";"TransOverview",#N/A,TRUE,"FundsFlow"}</definedName>
    <definedName name="ddddddddddddddddddddddd" hidden="1">{"SourcesUses",#N/A,TRUE,#N/A;"TransOverview",#N/A,TRUE,"CFMODEL"}</definedName>
    <definedName name="ddf" hidden="1">{"2002Frcst","06Month",FALSE,"Frcst Format 2002"}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Z.IndSpec_Left" hidden="1">#REF!</definedName>
    <definedName name="DZ.IndSpec_Right" hidden="1">#REF!</definedName>
    <definedName name="eeeeeeeeeee" hidden="1">{"SourcesUses",#N/A,TRUE,#N/A;"TransOverview",#N/A,TRUE,"CFMODEL"}</definedName>
    <definedName name="eeeeeeeeeeeeeeeeee" hidden="1">{"SourcesUses",#N/A,TRUE,"FundsFlow";"TransOverview",#N/A,TRUE,"FundsFlow"}</definedName>
    <definedName name="ev.Calculation" hidden="1">-4105</definedName>
    <definedName name="ev.Initialized" hidden="1">FALSE</definedName>
    <definedName name="EV__LASTREFTIME__" hidden="1">39504.3191203704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letes" hidden="1">{#N/A,#N/A,FALSE,"Aging Summary";#N/A,#N/A,FALSE,"Ratio Analysis";#N/A,#N/A,FALSE,"Test 120 Day Accts";#N/A,#N/A,FALSE,"Tickmarks"}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hidden="1">{"SourcesUses",#N/A,TRUE,#N/A;"TransOverview",#N/A,TRUE,"CFMODEL"}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hhh" hidden="1">{"SourcesUses",#N/A,TRUE,#N/A;"TransOverview",#N/A,TRUE,"CFMODEL"}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[29]LTM!$G$461:$J$461,[29]LTM!$G$463:$J$464,[29]LTM!$G$468:$J$469,[29]LTM!$G$473:$J$475,[29]LTM!$G$480:$J$480,[29]LTM!$G$484:$J$485,[29]LTM!$G$490:$J$490,[29]LTM!$G$514:$J$518,[29]LTM!$G$525:$J$526,[29]LTM!$G$532:$J$537</definedName>
    <definedName name="hn.ConvertZero2" hidden="1">[29]LTM!$G$560:$J$560,[29]LTM!$H$590:$J$591,[29]LTM!$H$614:$J$614,[29]LTM!$H$635:$J$636,[29]LTM!$G$676:$J$680,[29]LTM!$G$686:$J$686,[29]LTM!$G$688:$J$694,[29]LTM!$G$681:$J$682</definedName>
    <definedName name="hn.ConvertZero3" hidden="1">[29]LTM!$G$699:$J$706,[29]LTM!$G$710:$J$714,[29]LTM!$G$717:$J$734,[29]LTM!$G$738:$J$738,[29]LTM!$G$745:$J$751</definedName>
    <definedName name="hn.ConvertZero4" hidden="1">[29]LTM!$G$840:$J$840,[29]LTM!$H$1266:$J$1266,[29]LTM!$G$1267:$J$1267,[29]LTM!$G$1454:$J$1461,[29]LTM!$J$1462,[29]LTM!$J$1463,[29]LTM!$G$1468:$J$1469,[29]LTM!$L$1469:$N$1469</definedName>
    <definedName name="hn.ConvertZeroUnhide1" hidden="1">[29]LTM!$G$1469:$J$1469,[29]LTM!$L$1469:$N$1469,[29]LTM!$H$1266:$J$1266</definedName>
    <definedName name="hn.Delete015" hidden="1">#REF!,#REF!,#REF!,#REF!</definedName>
    <definedName name="hn.domestic" hidden="1">#REF!</definedName>
    <definedName name="hn.DZ_MultByFXRates" hidden="1">[29]DropZone!$B$2:$I$118,[29]DropZone!$B$120:$I$132,[29]DropZone!$B$134:$I$136,[29]DropZone!$B$138:$I$146</definedName>
    <definedName name="hn.ExtDb" hidden="1">FALSE</definedName>
    <definedName name="hn.Global" hidden="1">#REF!</definedName>
    <definedName name="hn.LTM_MultByFXRates" hidden="1">[29]LTM!$G$461:$N$477,[29]LTM!$G$480:$N$539,[29]LTM!$G$548:$N$667,[29]LTM!$G$676:$N$1266,[29]LTM!$G$1454:$N$1461,[29]LTM!$G$1463:$N$1465,[29]LTM!$G$1468:$N$1469</definedName>
    <definedName name="hn.ModelType" hidden="1">"DEAL"</definedName>
    <definedName name="hn.ModelVersion" hidden="1">1</definedName>
    <definedName name="hn.MultbyFXRates" hidden="1">[29]LTM!$G$461:$N$477,[29]LTM!$G$480:$N$539,[29]LTM!$G$548:$N$667,[29]LTM!$G$676:$N$1266,[29]LTM!$G$1454:$N$1461,[29]LTM!$G$1463:$N$1465,[29]LTM!$G$1468:$N$1469</definedName>
    <definedName name="hn.MultByFXRates1" hidden="1">[29]LTM!$G$461:$G$477,[29]LTM!$G$480:$G$539,[29]LTM!$G$548:$G$562,[29]LTM!$G$676:$G$840,[29]LTM!$G$1454:$G$1469</definedName>
    <definedName name="hn.MultByFXRates2" hidden="1">[29]LTM!$H$461:$H$477,[29]LTM!$H$480:$H$539,[29]LTM!$H$548:$H$667,[29]LTM!$H$676:$H$1266,[29]LTM!$H$1454:$H$1469</definedName>
    <definedName name="hn.MultByFXRates3" hidden="1">[29]LTM!$I$461:$I$477,[29]LTM!$I$480:$I$539,[29]LTM!$I$548:$I$667,[29]LTM!$I$676:$I$1266,[29]LTM!$I$1454:$I$1469</definedName>
    <definedName name="hn.MultbyFxrates4" hidden="1">[29]LTM!$J$461:$J$477,[29]LTM!$J$480:$J$539,[29]LTM!$J$548:$J$668,[29]LTM!$J$676:$J$1266,[29]LTM!$J$1454:$J$1461,[29]LTM!$J$1463:$J$1465,[29]LTM!$J$1468</definedName>
    <definedName name="hn.multbyfxrates5" hidden="1">[29]LTM!$L$461:$L$477,[29]LTM!$L$480:$L$539,[29]LTM!$L$548:$L$562,[29]LTM!$L$676:$L$840,[29]LTM!$L$1454:$L$1469</definedName>
    <definedName name="hn.multbyfxrates6" hidden="1">[29]LTM!$M$461:$M$477,[29]LTM!$M$480:$M$539,[29]LTM!$M$548:$M$668,[29]LTM!$M$676:$M$1266,[29]LTM!$M$1454:$M$1469</definedName>
    <definedName name="hn.multbyfxrates7" hidden="1">[29]LTM!$N$461:$N$477,[29]LTM!$N$480:$N$539,[29]LTM!$N$548:$N$667,[29]LTM!$N$676:$N$1266,[29]LTM!$N$1454:$N$1469</definedName>
    <definedName name="hn.MultByFXRatesBot1" hidden="1">[29]LTM!$G$676:$G$682,[29]LTM!$G$686,[29]LTM!$G$688:$G$694,[29]LTM!$G$699:$G$706,[29]LTM!$G$710:$G$714,[29]LTM!$G$717:$G$734,[29]LTM!$G$738,[29]LTM!$G$738,[29]LTM!$G$745:$G$751,[29]LTM!$G$840,[29]LTM!$G$1454:$G$1461,[29]LTM!$G$1468:$G$1469</definedName>
    <definedName name="hn.MultByFXRatesBot2" hidden="1">[29]LTM!$H$676:$H$682,[29]LTM!$H$686,[29]LTM!$H$688:$H$694,[29]LTM!$H$699:$H$706,[29]LTM!$H$710:$H$714,[29]LTM!$H$717:$H$734,[29]LTM!$H$738,[29]LTM!$H$745:$H$751,[29]LTM!$H$840,[29]LTM!$H$1266,[29]LTM!$H$1454:$H$1461,[29]LTM!$H$1468:$H$1469</definedName>
    <definedName name="hn.MultByFXRatesBot3" hidden="1">[29]LTM!$I$676:$I$682,[29]LTM!$I$686,[29]LTM!$I$688:$I$694,[29]LTM!$I$699:$I$706,[29]LTM!$I$710:$I$714,[29]LTM!$I$717:$I$734,[29]LTM!$I$738,[29]LTM!$I$745:$I$751,[29]LTM!$I$840,[29]LTM!$I$1266,[29]LTM!$I$1454:$I$1461,[29]LTM!$I$1468:$I$1469</definedName>
    <definedName name="hn.MultByFXRatesBot4" hidden="1">[29]LTM!$J$676:$J$682,[29]LTM!$J$686,[29]LTM!$J$688:$J$694,[29]LTM!$J$699:$J$706,[29]LTM!$J$710:$J$714,[29]LTM!$J$717:$J$734,[29]LTM!$J$738,[29]LTM!$J$745:$J$751,[29]LTM!$J$840,[29]LTM!$J$1266,[29]LTM!$J$1454:$J$1461,[29]LTM!$J$1463:$J$1465,[29]LTM!$J$1468</definedName>
    <definedName name="hn.MultByFXRatesBot5" hidden="1">[29]LTM!$L$676:$L$682,[29]LTM!$L$686,[29]LTM!$L$688:$L$694,[29]LTM!$L$699:$L$706,[29]LTM!$L$710:$L$714,[29]LTM!$L$717:$L$734,[29]LTM!$L$738,[29]LTM!$L$745:$L$751,[29]LTM!$L$837:$L$838,[29]LTM!$L$1454:$L$1458,[29]LTM!$L$1468:$L$1469</definedName>
    <definedName name="hn.MultByFXRatesBot6" hidden="1">[29]LTM!$M$676:$M$682,[29]LTM!$M$686,[29]LTM!$M$688:$M$694,[29]LTM!$M$699:$M$706,[29]LTM!$M$710:$M$714,[29]LTM!$M$717:$M$734,[29]LTM!$M$738,[29]LTM!$M$745:$M$751,[29]LTM!$M$837:$M$838,[29]LTM!$M$1454:$M$1458,[29]LTM!$M$1468:$M$1469</definedName>
    <definedName name="hn.MultByFXRatesBot7" hidden="1">[29]LTM!$N$676:$N$682,[29]LTM!$N$686,[29]LTM!$N$688:$N$694,[29]LTM!$N$699:$N$706,[29]LTM!$N$710:$N$714,[29]LTM!$N$717:$N$734,[29]LTM!$N$738,[29]LTM!$N$745:$N$751,[29]LTM!$N$837:$N$838,[29]LTM!$N$1454:$N$1458,[29]LTM!$N$1468:$N$1469</definedName>
    <definedName name="hn.MultByFXRatesTop1" hidden="1">[29]LTM!$G$461,[29]LTM!$G$463:$G$464,[29]LTM!$G$468:$G$469,[29]LTM!$G$473:$G$475,[29]LTM!$G$480,[29]LTM!$G$484:$G$485,[29]LTM!$G$490:$G$509,[29]LTM!$G$512,[29]LTM!$G$514:$G$518,[29]LTM!$G$525:$G$526,[29]LTM!$G$532:$G$537,[29]LTM!$G$560</definedName>
    <definedName name="hn.MultByFXRatesTop2" hidden="1">[29]LTM!$H$461,[29]LTM!$H$463:$H$464,[29]LTM!$H$468:$H$469,[29]LTM!$H$473:$H$475,[29]LTM!$H$480,[29]LTM!$H$484:$H$485,[29]LTM!$H$490:$H$509,[29]LTM!$H$512,[29]LTM!$H$514:$H$518,[29]LTM!$H$525:$H$526,[29]LTM!$H$532:$H$537,[29]LTM!$H$560,[29]LTM!$H$590:$H$591,[29]LTM!$H$614:$H$631,[29]LTM!$H$635:$H$636</definedName>
    <definedName name="hn.MultByFXRatesTop3" hidden="1">[29]LTM!$I$461,[29]LTM!$I$463:$I$464,[29]LTM!$I$468:$I$469,[29]LTM!$I$473:$I$475,[29]LTM!$I$480,[29]LTM!$I$484:$I$485,[29]LTM!$I$490:$I$509,[29]LTM!$I$512,[29]LTM!$I$514:$I$518,[29]LTM!$I$525:$I$526,[29]LTM!$I$532:$I$537,[29]LTM!$I$560,[29]LTM!$I$590:$I$591,[29]LTM!$I$614:$I$631,[29]LTM!$I$635:$I$636</definedName>
    <definedName name="hn.MultByFXRatesTop4" hidden="1">[29]LTM!$J$461,[29]LTM!$J$463:$J$464,[29]LTM!$J$468:$J$469,[29]LTM!$J$473:$J$475,[29]LTM!$J$480,[29]LTM!$J$484:$J$485,[29]LTM!$J$490:$J$509,[29]LTM!$J$512,[29]LTM!$J$514:$J$518,[29]LTM!$J$525:$J$526,[29]LTM!$J$532:$J$537,[29]LTM!$J$560,[29]LTM!$J$590:$J$591,[29]LTM!$J$614:$J$631,[29]LTM!$J$635:$J$636</definedName>
    <definedName name="hn.MultByFXRatesTop5" hidden="1">[29]LTM!$L$461,[29]LTM!$L$463:$L$464,[29]LTM!$L$468:$L$469,[29]LTM!$L$473:$L$475,[29]LTM!$L$480,[29]LTM!$L$484:$L$485,[29]LTM!$L$490:$L$509,[29]LTM!$L$512,[29]LTM!$L$514:$L$518,[29]LTM!$L$525:$L$526,[29]LTM!$L$532:$L$537,[29]LTM!$L$560</definedName>
    <definedName name="hn.MultByFXRatesTop6" hidden="1">[29]LTM!$M$461,[29]LTM!$M$463:$M$464,[29]LTM!$M$468:$M$469,[29]LTM!$M$473:$M$475,[29]LTM!$M$480,[29]LTM!$M$484:$M$485,[29]LTM!$M$490:$M$509,[29]LTM!$M$512,[29]LTM!$M$514:$M$518,[29]LTM!$M$525:$M$526,[29]LTM!$M$532:$M$537,[29]LTM!$M$560,[29]LTM!$M$590:$M$591,[29]LTM!$M$614:$M$631,[29]LTM!$M$635:$M$636</definedName>
    <definedName name="hn.MultByFXRatesTop7" hidden="1">[29]LTM!$N$461,[29]LTM!$N$463:$N$464,[29]LTM!$N$468:$N$469,[29]LTM!$N$473:$N$475,[29]LTM!$N$480,[29]LTM!$N$484:$N$485,[29]LTM!$N$490:$N$509,[29]LTM!$N$512,[29]LTM!$N$514:$N$518,[29]LTM!$N$525:$N$526,[29]LTM!$N$532:$N$537,[29]LTM!$N$560,[29]LTM!$N$590:$N$591,[29]LTM!$N$614:$N$631,[29]LTM!$N$635:$N$636</definedName>
    <definedName name="hn.NoUpload" hidden="1">0</definedName>
    <definedName name="hn.YearLabel" hidden="1">#REF!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TML_Control" localSheetId="16" hidden="1">{"'Attachment'!$A$1:$L$49"}</definedName>
    <definedName name="HTML_Control1" hidden="1">{"'Attachment'!$A$1:$L$49"}</definedName>
    <definedName name="HTML_Control2" hidden="1">{"'Attachment'!$A$1:$L$49"}</definedName>
    <definedName name="HTML_Control3" hidden="1">{"'Attachment'!$A$1:$L$49"}</definedName>
    <definedName name="HTML_Email" localSheetId="16" hidden="1">"dsullivan@sdge.com"</definedName>
    <definedName name="HTML_Header" localSheetId="16" hidden="1">"SRAC"</definedName>
    <definedName name="HTML_LastUpdate" localSheetId="16" hidden="1">"04/01/2002"</definedName>
    <definedName name="HTML_LineAfter" localSheetId="16" hidden="1">TRUE</definedName>
    <definedName name="HTML_LineBefore" localSheetId="16" hidden="1">TRUE</definedName>
    <definedName name="HTML_Name" localSheetId="16" hidden="1">"Daniel L. Sullivan"</definedName>
    <definedName name="HTML_PathFile" localSheetId="16" hidden="1">"S:\FUELS\DATA\SULLIVAN\DATA\Srac Spreadsheet\FILING\2002\SracHTML\Srac0402.htm"</definedName>
    <definedName name="HTML_Title" localSheetId="16" hidden="1">"April 2002 SRAC Prices"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hidden="1">{#N/A,#N/A,FALSE,"RECAP";#N/A,#N/A,FALSE,"MATBYCLS";#N/A,#N/A,FALSE,"STATUS";#N/A,#N/A,FALSE,"OP-ACT";#N/A,#N/A,FALSE,"W_O"}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'[19]Table 3 Partnership by Partner'!$C$9</definedName>
    <definedName name="IRR_1_1" hidden="1">'[19]Table 3 Partnership by Partner'!$C$10</definedName>
    <definedName name="IRR_1_10" hidden="1">'[19]Table 3 Partnership by Partner'!$C$19</definedName>
    <definedName name="IRR_1_2" hidden="1">'[19]Table 3 Partnership by Partner'!$C$11</definedName>
    <definedName name="IRR_1_3" hidden="1">'[19]Table 3 Partnership by Partner'!$C$12</definedName>
    <definedName name="IRR_1_4" hidden="1">'[19]Table 3 Partnership by Partner'!$C$13</definedName>
    <definedName name="IRR_1_5" hidden="1">'[19]Table 3 Partnership by Partner'!$C$14</definedName>
    <definedName name="IRR_1_6" hidden="1">'[19]Table 3 Partnership by Partner'!$C$15</definedName>
    <definedName name="IRR_1_7" hidden="1">'[19]Table 3 Partnership by Partner'!$C$16</definedName>
    <definedName name="IRR_1_8" hidden="1">'[19]Table 3 Partnership by Partner'!$C$17</definedName>
    <definedName name="IRR_1_9" hidden="1">'[19]Table 3 Partnership by Partner'!$C$18</definedName>
    <definedName name="IRR_2_0" hidden="1">'[19]Table 3 Partnership by Partner'!$D$9</definedName>
    <definedName name="IRR_2_1" hidden="1">'[19]Table 3 Partnership by Partner'!$D$10</definedName>
    <definedName name="IRR_2_10" hidden="1">'[19]Table 3 Partnership by Partner'!$D$19</definedName>
    <definedName name="IRR_2_2" hidden="1">'[19]Table 3 Partnership by Partner'!$D$11</definedName>
    <definedName name="IRR_2_3" hidden="1">'[19]Table 3 Partnership by Partner'!$D$12</definedName>
    <definedName name="IRR_2_4" hidden="1">'[19]Table 3 Partnership by Partner'!$D$13</definedName>
    <definedName name="IRR_2_5" hidden="1">'[19]Table 3 Partnership by Partner'!$D$14</definedName>
    <definedName name="IRR_2_6" hidden="1">'[19]Table 3 Partnership by Partner'!$D$15</definedName>
    <definedName name="IRR_2_7" hidden="1">'[19]Table 3 Partnership by Partner'!$D$16</definedName>
    <definedName name="IRR_2_8" hidden="1">'[19]Table 3 Partnership by Partner'!$D$17</definedName>
    <definedName name="IRR_2_9" hidden="1">'[19]Table 3 Partnership by Partner'!$D$18</definedName>
    <definedName name="IRR_3_0" hidden="1">'[19]Table 3 Partnership by Partner'!$E$9</definedName>
    <definedName name="IRR_3_1" hidden="1">'[19]Table 3 Partnership by Partner'!$E$10</definedName>
    <definedName name="IRR_3_10" hidden="1">'[19]Table 3 Partnership by Partner'!$E$19</definedName>
    <definedName name="IRR_3_2" hidden="1">'[19]Table 3 Partnership by Partner'!$E$11</definedName>
    <definedName name="IRR_3_3" hidden="1">'[19]Table 3 Partnership by Partner'!$E$12</definedName>
    <definedName name="IRR_3_4" hidden="1">'[19]Table 3 Partnership by Partner'!$E$13</definedName>
    <definedName name="IRR_3_5" hidden="1">'[19]Table 3 Partnership by Partner'!$E$14</definedName>
    <definedName name="IRR_3_6" hidden="1">'[19]Table 3 Partnership by Partner'!$E$15</definedName>
    <definedName name="IRR_3_7" hidden="1">'[19]Table 3 Partnership by Partner'!$E$16</definedName>
    <definedName name="IRR_3_8" hidden="1">'[19]Table 3 Partnership by Partner'!$E$17</definedName>
    <definedName name="IRR_3_9" hidden="1">'[19]Table 3 Partnership by Partner'!$E$18</definedName>
    <definedName name="IsColHidden" hidden="1">FALSE</definedName>
    <definedName name="IsLTMColHidden" hidden="1">FALSE</definedName>
    <definedName name="JH" hidden="1">{"total_10yr",#N/A,FALSE,"Data (t8-t4)"}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ly2007" hidden="1">{"2002Frcst","06Month",FALSE,"Frcst Format 2002"}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k" hidden="1">'[30]CAP ADJ'!#REF!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LandCost" hidden="1">[19]Title!$T$89</definedName>
    <definedName name="LastRangeName" hidden="1">[19]Title!$AT$27</definedName>
    <definedName name="limcount" hidden="1">1</definedName>
    <definedName name="ListOffset" hidden="1">1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ly__IRR__Dates" hidden="1">'[19]Partner 1 Monthly IRR'!$B$13:$B$252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wrev" hidden="1">{#N/A,#N/A,TRUE,"SDGE";#N/A,#N/A,TRUE,"GBU";#N/A,#N/A,TRUE,"TBU";#N/A,#N/A,TRUE,"EDBU";#N/A,#N/A,TRUE,"ExclCC"}</definedName>
    <definedName name="NPV_1_0" hidden="1">'[19]Table 3 Partnership by Partner'!$F$9</definedName>
    <definedName name="NPV_1_1" hidden="1">'[19]Table 3 Partnership by Partner'!$F$10</definedName>
    <definedName name="NPV_1_10" hidden="1">'[19]Table 3 Partnership by Partner'!$F$19</definedName>
    <definedName name="NPV_1_2" hidden="1">'[19]Table 3 Partnership by Partner'!$F$11</definedName>
    <definedName name="NPV_1_3" hidden="1">'[19]Table 3 Partnership by Partner'!$F$12</definedName>
    <definedName name="NPV_1_4" hidden="1">'[19]Table 3 Partnership by Partner'!$F$13</definedName>
    <definedName name="NPV_1_5" hidden="1">'[19]Table 3 Partnership by Partner'!$F$14</definedName>
    <definedName name="NPV_1_6" hidden="1">'[19]Table 3 Partnership by Partner'!$F$15</definedName>
    <definedName name="NPV_1_7" hidden="1">'[19]Table 3 Partnership by Partner'!$F$16</definedName>
    <definedName name="NPV_1_8" hidden="1">'[19]Table 3 Partnership by Partner'!$F$17</definedName>
    <definedName name="NPV_1_9" hidden="1">'[19]Table 3 Partnership by Partner'!$F$18</definedName>
    <definedName name="NPV_2_0" hidden="1">'[19]Table 3 Partnership by Partner'!$G$9</definedName>
    <definedName name="NPV_2_1" hidden="1">'[19]Table 3 Partnership by Partner'!$G$10</definedName>
    <definedName name="NPV_2_10" hidden="1">'[19]Table 3 Partnership by Partner'!$G$19</definedName>
    <definedName name="NPV_2_2" hidden="1">'[19]Table 3 Partnership by Partner'!$G$11</definedName>
    <definedName name="NPV_2_3" hidden="1">'[19]Table 3 Partnership by Partner'!$G$12</definedName>
    <definedName name="NPV_2_4" hidden="1">'[19]Table 3 Partnership by Partner'!$G$13</definedName>
    <definedName name="NPV_2_5" hidden="1">'[19]Table 3 Partnership by Partner'!$G$14</definedName>
    <definedName name="NPV_2_6" hidden="1">'[19]Table 3 Partnership by Partner'!$G$15</definedName>
    <definedName name="NPV_2_7" hidden="1">'[19]Table 3 Partnership by Partner'!$G$16</definedName>
    <definedName name="NPV_2_8" hidden="1">'[19]Table 3 Partnership by Partner'!$G$17</definedName>
    <definedName name="NPV_2_9" hidden="1">'[19]Table 3 Partnership by Partner'!$G$18</definedName>
    <definedName name="NPV_3_0" hidden="1">'[19]Table 3 Partnership by Partner'!$H$9</definedName>
    <definedName name="NPV_3_1" hidden="1">'[19]Table 3 Partnership by Partner'!$H$10</definedName>
    <definedName name="NPV_3_10" hidden="1">'[19]Table 3 Partnership by Partner'!$H$19</definedName>
    <definedName name="NPV_3_2" hidden="1">'[19]Table 3 Partnership by Partner'!$H$11</definedName>
    <definedName name="NPV_3_3" hidden="1">'[19]Table 3 Partnership by Partner'!$H$12</definedName>
    <definedName name="NPV_3_4" hidden="1">'[19]Table 3 Partnership by Partner'!$H$13</definedName>
    <definedName name="NPV_3_5" hidden="1">'[19]Table 3 Partnership by Partner'!$H$14</definedName>
    <definedName name="NPV_3_6" hidden="1">'[19]Table 3 Partnership by Partner'!$H$15</definedName>
    <definedName name="NPV_3_7" hidden="1">'[19]Table 3 Partnership by Partner'!$H$16</definedName>
    <definedName name="NPV_3_8" hidden="1">'[19]Table 3 Partnership by Partner'!$H$17</definedName>
    <definedName name="NPV_3_9" hidden="1">'[19]Table 3 Partnership by Partner'!$H$18</definedName>
    <definedName name="NRange103" hidden="1">'[19]Table 1 Partnership Inputs'!$K$37</definedName>
    <definedName name="NRange106" hidden="1">'[19]Table 1 Partnership Inputs'!$C$40:$C$49</definedName>
    <definedName name="NRange137" hidden="1">'[19]Table 1 Partnership Inputs'!$C$443:$C$452</definedName>
    <definedName name="NRange237" hidden="1">'[19]Imported Project Data'!$D$128:$AQ$128</definedName>
    <definedName name="NRange238" hidden="1">'[19]Imported Project Data'!$E$143:$I$143</definedName>
    <definedName name="NRange239" hidden="1">'[19]Imported Project Data'!$E$145:$J$145</definedName>
    <definedName name="NRange251" hidden="1">'[19]Imported Project Data'!$C$3</definedName>
    <definedName name="NRange262" hidden="1">'[19]Imported Project Data'!$L$146:$AQ$146</definedName>
    <definedName name="NRange267" hidden="1">'[19]Imported Project Data'!$L$154:$AQ$154</definedName>
    <definedName name="NRange276" hidden="1">'[19]Imported Project Data'!$J$144</definedName>
    <definedName name="nrerev" hidden="1">{"total_10yr",#N/A,FALSE,"Data (t8-t4)"}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pt_Error_Checker" hidden="1">[19]Optimizer!$C$75</definedName>
    <definedName name="Opt_Flip_0" hidden="1">[19]Optimizer!$M$4</definedName>
    <definedName name="Optimizer__NPV1" hidden="1">'[19]Partnership Optimizer'!$C$30</definedName>
    <definedName name="Optimizer__Target1" hidden="1">'[19]Partnership Optimizer'!$C$24</definedName>
    <definedName name="otherrev" localSheetId="16" hidden="1">{#N/A,#N/A,TRUE,"SDGE";#N/A,#N/A,TRUE,"GBU";#N/A,#N/A,TRUE,"TBU";#N/A,#N/A,TRUE,"EDBU";#N/A,#N/A,TRUE,"ExclCC"}</definedName>
    <definedName name="otherrev" localSheetId="19" hidden="1">{#N/A,#N/A,TRUE,"SDGE";#N/A,#N/A,TRUE,"GBU";#N/A,#N/A,TRUE,"TBU";#N/A,#N/A,TRUE,"EDBU";#N/A,#N/A,TRUE,"ExclCC"}</definedName>
    <definedName name="otherrev" localSheetId="36" hidden="1">{#N/A,#N/A,TRUE,"SDGE";#N/A,#N/A,TRUE,"GBU";#N/A,#N/A,TRUE,"TBU";#N/A,#N/A,TRUE,"EDBU";#N/A,#N/A,TRUE,"ExclCC"}</definedName>
    <definedName name="otherrev" localSheetId="37" hidden="1">{#N/A,#N/A,TRUE,"SDGE";#N/A,#N/A,TRUE,"GBU";#N/A,#N/A,TRUE,"TBU";#N/A,#N/A,TRUE,"EDBU";#N/A,#N/A,TRUE,"ExclCC"}</definedName>
    <definedName name="otherrev" localSheetId="41" hidden="1">{#N/A,#N/A,TRUE,"SDGE";#N/A,#N/A,TRUE,"GBU";#N/A,#N/A,TRUE,"TBU";#N/A,#N/A,TRUE,"EDBU";#N/A,#N/A,TRUE,"ExclCC"}</definedName>
    <definedName name="otherrev" localSheetId="52" hidden="1">{#N/A,#N/A,TRUE,"SDGE";#N/A,#N/A,TRUE,"GBU";#N/A,#N/A,TRUE,"TBU";#N/A,#N/A,TRUE,"EDBU";#N/A,#N/A,TRUE,"ExclCC"}</definedName>
    <definedName name="otherrev" localSheetId="4" hidden="1">{#N/A,#N/A,TRUE,"SDGE";#N/A,#N/A,TRUE,"GBU";#N/A,#N/A,TRUE,"TBU";#N/A,#N/A,TRUE,"EDBU";#N/A,#N/A,TRUE,"ExclCC"}</definedName>
    <definedName name="otherrev" localSheetId="57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[19]Optimizer!$E$78</definedName>
    <definedName name="P1_Tar2" hidden="1">[19]Optimizer!$G$78</definedName>
    <definedName name="P1_Trsh1_Tar" hidden="1">[19]Optimizer!$D$78</definedName>
    <definedName name="P1_Trsh2_Tar" hidden="1">[19]Optimizer!$F$78</definedName>
    <definedName name="P1GarPay" hidden="1">'[19]Table 1 Partnership Inputs'!$C$443</definedName>
    <definedName name="P2_Tar1" hidden="1">[19]Optimizer!$E$79</definedName>
    <definedName name="P2_Tar2" hidden="1">[19]Optimizer!$G$79</definedName>
    <definedName name="P2_Trsh1_Tar" hidden="1">[19]Optimizer!$D$79</definedName>
    <definedName name="P2_Trsh2_Tar" hidden="1">[19]Optimizer!$F$79</definedName>
    <definedName name="P2GarPay" hidden="1">'[19]Table 1 Partnership Inputs'!$C$444</definedName>
    <definedName name="P3_Tar1" hidden="1">[19]Optimizer!$E$80</definedName>
    <definedName name="P3_Tar2" hidden="1">[19]Optimizer!$G$80</definedName>
    <definedName name="P3_Trsh1_Tar" hidden="1">[19]Optimizer!$D$80</definedName>
    <definedName name="P3_Trsh2_Tar" hidden="1">[19]Optimizer!$F$80</definedName>
    <definedName name="P3GarPay" hidden="1">'[19]Table 1 Partnership Inputs'!$C$445</definedName>
    <definedName name="Partner__1__Name" hidden="1">'[19]Table 1 Partnership Inputs'!$B$40</definedName>
    <definedName name="Partner__2__Name" hidden="1">'[19]Table 1 Partnership Inputs'!$B$41</definedName>
    <definedName name="Partner__3__Name" hidden="1">'[19]Table 1 Partnership Inputs'!$B$42</definedName>
    <definedName name="Partner1" hidden="1">'[19]Table 1 Partnership Inputs'!$B$71</definedName>
    <definedName name="PHILIPS" hidden="1">{#N/A,#N/A,FALSE,"RECAP";#N/A,#N/A,FALSE,"MATBYCLS";#N/A,#N/A,FALSE,"STATUS";#N/A,#N/A,FALSE,"OP-ACT";#N/A,#N/A,FALSE,"W_O"}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cc22" hidden="1">[19]Title!$A$8</definedName>
    <definedName name="prcc23" hidden="1">[19]Title!$B$8</definedName>
    <definedName name="_xlnm.Print_Area" localSheetId="36">'AG-1'!$A$1:$E$32</definedName>
    <definedName name="_xlnm.Print_Area" localSheetId="49">'AL-1'!$A$1:$E$33</definedName>
    <definedName name="problem" hidden="1">{#N/A,#N/A,FALSE,"trates"}</definedName>
    <definedName name="qqqqqqq" hidden="1">{"SourcesUses",#N/A,TRUE,"CFMODEL";"TransOverview",#N/A,TRUE,"CFMODEL"}</definedName>
    <definedName name="qqqqqqqqqqqqqqqqqq" hidden="1">{"Income Statement",#N/A,FALSE,"CFMODEL";"Balance Sheet",#N/A,FALSE,"CFMODEL"}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ference3" hidden="1">{"SourcesUses",#N/A,TRUE,"CFMODEL";"TransOverview",#N/A,TRUE,"CFMODEL"}</definedName>
    <definedName name="reference32" hidden="1">{"SourcesUses",#N/A,TRUE,"CFMODEL";"TransOverview",#N/A,TRUE,"CFMODEL"}</definedName>
    <definedName name="rert" hidden="1">{"'Attachment'!$A$1:$L$49"}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FALSE</definedName>
    <definedName name="rrrrr" hidden="1">{"SourcesUses",#N/A,TRUE,#N/A;"TransOverview",#N/A,TRUE,"CFMODEL"}</definedName>
    <definedName name="rrrrrr" hidden="1">{"SourcesUses",#N/A,TRUE,"FundsFlow";"TransOverview",#N/A,TRUE,"FundsFlow"}</definedName>
    <definedName name="rrrrrr2" hidden="1">{"SourcesUses",#N/A,TRUE,"FundsFlow";"TransOverview",#N/A,TRUE,"FundsFlow"}</definedName>
    <definedName name="samasra" hidden="1">{#N/A,#N/A,TRUE,"SDGE";#N/A,#N/A,TRUE,"GBU";#N/A,#N/A,TRUE,"TBU";#N/A,#N/A,TRUE,"EDBU";#N/A,#N/A,TRUE,"ExclCC"}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localSheetId="42" hidden="1">"3HLUHWD7UCRUUESL6DDMKVCIX"</definedName>
    <definedName name="SAPBEXwbID" localSheetId="47" hidden="1">"3HLUHWD7UCRUUESL6DDMKVCIX"</definedName>
    <definedName name="SAPBEXwbID" localSheetId="51" hidden="1">"3OI398WBFRH41IFEVHKOMVZ17"</definedName>
    <definedName name="SAPBEXwbID" localSheetId="53" hidden="1">"3OI398WBFRH41IFEVHKOMVZ17"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dafsadf" hidden="1">{#N/A,#N/A,FALSE,"Aging Summary";#N/A,#N/A,FALSE,"Ratio Analysis";#N/A,#N/A,FALSE,"Test 120 Day Accts";#N/A,#N/A,FALSE,"Tickmarks"}</definedName>
    <definedName name="sencount" hidden="1">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pFor" hidden="1">[19]SpFor!$A$1</definedName>
    <definedName name="SpFor15" hidden="1">[19]SpFor!$A$2</definedName>
    <definedName name="SpFor22" hidden="1">[19]SpFor!$A$3</definedName>
    <definedName name="sss" hidden="1">{"SourcesUses",#N/A,TRUE,#N/A;"TransOverview",#N/A,TRUE,"CFMODEL"}</definedName>
    <definedName name="sssssssssssssssss" hidden="1">{"Income Statement",#N/A,FALSE,"CFMODEL";"Balance Sheet",#N/A,FALSE,"CFMODEL"}</definedName>
    <definedName name="sssssssssssssssssss" hidden="1">{"Income Statement",#N/A,FALSE,"CFMODEL";"Balance Sheet",#N/A,FALSE,"CFMODEL"}</definedName>
    <definedName name="T1PR2_Capital_Accounts" hidden="1">'[19]Table 3 Partnership by Partner'!$B$175</definedName>
    <definedName name="T1PR2_Cash_Flow" hidden="1">'[19]Table 3 Partnership by Partner'!$B$525</definedName>
    <definedName name="T1PR2_Minimum_Gain_Chargeback" hidden="1">'[19]Table 3 Partnership by Partner'!$B$240</definedName>
    <definedName name="T1PR2_Net_Cash_Flow_After_Tax" hidden="1">'[19]Table 3 Partnership by Partner'!$B$635</definedName>
    <definedName name="T1PR2_Taxable_Income_Loss_Actual" hidden="1">'[19]Table 3 Partnership by Partner'!$B$201</definedName>
    <definedName name="T1PR2_Total_Payments" hidden="1">'[19]Table 3 Partnership by Partner'!$B$596</definedName>
    <definedName name="T1PR2_Total_Tax_Benefits" hidden="1">'[19]Table 3 Partnership by Partner'!$B$609</definedName>
    <definedName name="T7ACM2Chk" hidden="1">'[31]Table 7A Cash Flow -Unleveraged'!$G$1</definedName>
    <definedName name="T7ACM2Chk2" hidden="1">'[31]Table 7A Cash Flow -Unleveraged'!$H$1</definedName>
    <definedName name="t7cm2chk" hidden="1">'[31]Table 7 Cash Flow -Leveraged'!$G$1</definedName>
    <definedName name="T7CM2Chk2" hidden="1">'[31]Table 7 Cash Flow -Leveraged'!$H$1</definedName>
    <definedName name="T8ACMChk" hidden="1">'[31]Table 8A NPV &amp; IRR -Unleveraged'!$G$1</definedName>
    <definedName name="T8ACMChk2" hidden="1">'[31]Table 8A NPV &amp; IRR -Unleveraged'!$H$1</definedName>
    <definedName name="T8CMChk" hidden="1">'[31]Table 8 NPV &amp; IRR -Leveraged'!$G$1</definedName>
    <definedName name="T8CMChk2" hidden="1">'[31]Table 8 NPV &amp; IRR -Leveraged'!$H$1</definedName>
    <definedName name="Table1_Check" hidden="1">'[19]Table 1 Partnership Inputs'!$B$246</definedName>
    <definedName name="Table1_Store1_Description" hidden="1">'[19]Table 1 Partnership Inputs'!$C$8617</definedName>
    <definedName name="Target1__IRR" hidden="1">'[19]Partnership Optimizer'!$C$31</definedName>
    <definedName name="Target2__IRR" hidden="1">'[19]Partnership Optimizer'!$C$44</definedName>
    <definedName name="TDM" hidden="1">{#N/A,#N/A,FALSE,"Aging Summary";#N/A,#N/A,FALSE,"Ratio Analysis";#N/A,#N/A,FALSE,"Test 120 Day Accts";#N/A,#N/A,FALSE,"Tickmarks"}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6" hidden="1">{"Control_DataContact",#N/A,FALSE,"Control"}</definedName>
    <definedName name="test" localSheetId="19" hidden="1">{"Control_DataContact",#N/A,FALSE,"Control"}</definedName>
    <definedName name="test" localSheetId="36" hidden="1">{"Control_DataContact",#N/A,FALSE,"Control"}</definedName>
    <definedName name="test" localSheetId="37" hidden="1">{"Control_DataContact",#N/A,FALSE,"Control"}</definedName>
    <definedName name="test" localSheetId="52" hidden="1">{"Control_DataContact",#N/A,FALSE,"Control"}</definedName>
    <definedName name="test" localSheetId="4" hidden="1">{"Control_DataContact",#N/A,FALSE,"Control"}</definedName>
    <definedName name="test" localSheetId="53" hidden="1">{"Control_DataContact",#N/A,FALSE,"Control"}</definedName>
    <definedName name="test" localSheetId="57" hidden="1">{"Control_DataContact",#N/A,FALSE,"Control"}</definedName>
    <definedName name="test" hidden="1">{"Control_DataContact",#N/A,FALSE,"Control"}</definedName>
    <definedName name="test_1" hidden="1">{"Control_DataContact",#N/A,FALSE,"Control"}</definedName>
    <definedName name="test1_1" hidden="1">{"Sch.D_P_1Gas",#N/A,FALSE,"Sch.D";"Sch.D_P_2Elec",#N/A,FALSE,"Sch.D"}</definedName>
    <definedName name="test2006" hidden="1">{"SourcesUses",#N/A,TRUE,#N/A;"TransOverview",#N/A,TRUE,"CFMODEL"}</definedName>
    <definedName name="test3_1" hidden="1">{"Sch.E_PayrollExp",#N/A,TRUE,"Sch.E,F,G,H";"Sch.F_PayrollTaxes",#N/A,TRUE,"Sch.E,F,G,H";"Sch.G_IncentComp",#N/A,TRUE,"Sch.E,F,G,H";"Sch.H_P1_EmplBeneSum",#N/A,TRUE,"Sch.E,F,G,H"}</definedName>
    <definedName name="TextRefCopyRangeCount" hidden="1">39</definedName>
    <definedName name="This_Model_Enabled" hidden="1">'[19]Table 1 Partnership Inputs'!$E$6</definedName>
    <definedName name="Top_of_Partner_Inputs_Sheet" hidden="1">'[19]Table 1 Partnership Inputs'!$B$35</definedName>
    <definedName name="Top_Section_2" hidden="1">'[19]Table 1 Partnership Inputs'!$B$54</definedName>
    <definedName name="Top_Section_3" hidden="1">'[19]Table 1 Partnership Inputs'!$B$246</definedName>
    <definedName name="Top_Section_4" hidden="1">'[19]Table 1 Partnership Inputs'!$B$350</definedName>
    <definedName name="Top_Section_5" hidden="1">'[19]Table 1 Partnership Inputs'!$B$514</definedName>
    <definedName name="Top_Section_6" hidden="1">'[19]Table 1 Partnership Inputs'!$B$546</definedName>
    <definedName name="Top_Section_7" hidden="1">'[19]Table 1 Partnership Inputs'!$B$695</definedName>
    <definedName name="Top_Section_8" hidden="1">'[19]Table 1 Partnership Inputs'!$B$943</definedName>
    <definedName name="TP_Footer_User" hidden="1">"Melvin Williams"</definedName>
    <definedName name="TP_Footer_Version" hidden="1">"v3.00"</definedName>
    <definedName name="TUCU" localSheetId="16" hidden="1">[32]Input!#REF!</definedName>
    <definedName name="TUCU" localSheetId="19" hidden="1">[32]Input!#REF!</definedName>
    <definedName name="TUCU" localSheetId="33" hidden="1">[32]Input!#REF!</definedName>
    <definedName name="TUCU" localSheetId="37" hidden="1">[32]Input!#REF!</definedName>
    <definedName name="TUCU" localSheetId="52" hidden="1">[32]Input!#REF!</definedName>
    <definedName name="TUCU" localSheetId="4" hidden="1">[32]Input!#REF!</definedName>
    <definedName name="TUCU" localSheetId="5" hidden="1">[32]Input!#REF!</definedName>
    <definedName name="TUCU" localSheetId="57" hidden="1">[32]Input!#REF!</definedName>
    <definedName name="TUCU" hidden="1">[32]Input!#REF!</definedName>
    <definedName name="w" hidden="1">{"SourcesUses",#N/A,TRUE,"CFMODEL";"TransOverview",#N/A,TRUE,"CFMODEL"}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ind_Partner_Data" hidden="1">'[19]Imported Project Data'!$B$4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hidden="1">{#N/A,#N/A,FALSE,"Aging Summary";#N/A,#N/A,FALSE,"Ratio Analysis";#N/A,#N/A,FALSE,"Test 120 Day Accts";#N/A,#N/A,FALSE,"Tickmarks"}</definedName>
    <definedName name="wrn.ALL." hidden="1">{"RPT610",#N/A,FALSE,"Sheet1";"RPT611",#N/A,FALSE,"Sheet1"}</definedName>
    <definedName name="wrn.AllSummarySheets." localSheetId="16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19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6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2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3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hidden="1">{#N/A,#N/A,FALSE,"trates"}</definedName>
    <definedName name="wrn.BS._.Elements." localSheetId="16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19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6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2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3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6" hidden="1">{#N/A,#N/A,TRUE,"SDGE";#N/A,#N/A,TRUE,"GBU";#N/A,#N/A,TRUE,"TBU";#N/A,#N/A,TRUE,"EDBU";#N/A,#N/A,TRUE,"ExclCC"}</definedName>
    <definedName name="wrn.busum." localSheetId="19" hidden="1">{#N/A,#N/A,TRUE,"SDGE";#N/A,#N/A,TRUE,"GBU";#N/A,#N/A,TRUE,"TBU";#N/A,#N/A,TRUE,"EDBU";#N/A,#N/A,TRUE,"ExclCC"}</definedName>
    <definedName name="wrn.busum." localSheetId="36" hidden="1">{#N/A,#N/A,TRUE,"SDGE";#N/A,#N/A,TRUE,"GBU";#N/A,#N/A,TRUE,"TBU";#N/A,#N/A,TRUE,"EDBU";#N/A,#N/A,TRUE,"ExclCC"}</definedName>
    <definedName name="wrn.busum." localSheetId="37" hidden="1">{#N/A,#N/A,TRUE,"SDGE";#N/A,#N/A,TRUE,"GBU";#N/A,#N/A,TRUE,"TBU";#N/A,#N/A,TRUE,"EDBU";#N/A,#N/A,TRUE,"ExclCC"}</definedName>
    <definedName name="wrn.busum." localSheetId="41" hidden="1">{#N/A,#N/A,TRUE,"SDGE";#N/A,#N/A,TRUE,"GBU";#N/A,#N/A,TRUE,"TBU";#N/A,#N/A,TRUE,"EDBU";#N/A,#N/A,TRUE,"ExclCC"}</definedName>
    <definedName name="wrn.busum." localSheetId="52" hidden="1">{#N/A,#N/A,TRUE,"SDGE";#N/A,#N/A,TRUE,"GBU";#N/A,#N/A,TRUE,"TBU";#N/A,#N/A,TRUE,"EDBU";#N/A,#N/A,TRUE,"ExclCC"}</definedName>
    <definedName name="wrn.busum." localSheetId="4" hidden="1">{#N/A,#N/A,TRUE,"SDGE";#N/A,#N/A,TRUE,"GBU";#N/A,#N/A,TRUE,"TBU";#N/A,#N/A,TRUE,"EDBU";#N/A,#N/A,TRUE,"ExclCC"}</definedName>
    <definedName name="wrn.busum." localSheetId="57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6" hidden="1">{"Control_P1",#N/A,FALSE,"Control";"Control_P2",#N/A,FALSE,"Control";"Control_P3",#N/A,FALSE,"Control";"Control_P4",#N/A,FALSE,"Control"}</definedName>
    <definedName name="wrn.ControlSheets." localSheetId="19" hidden="1">{"Control_P1",#N/A,FALSE,"Control";"Control_P2",#N/A,FALSE,"Control";"Control_P3",#N/A,FALSE,"Control";"Control_P4",#N/A,FALSE,"Control"}</definedName>
    <definedName name="wrn.ControlSheets." localSheetId="36" hidden="1">{"Control_P1",#N/A,FALSE,"Control";"Control_P2",#N/A,FALSE,"Control";"Control_P3",#N/A,FALSE,"Control";"Control_P4",#N/A,FALSE,"Control"}</definedName>
    <definedName name="wrn.ControlSheets." localSheetId="37" hidden="1">{"Control_P1",#N/A,FALSE,"Control";"Control_P2",#N/A,FALSE,"Control";"Control_P3",#N/A,FALSE,"Control";"Control_P4",#N/A,FALSE,"Control"}</definedName>
    <definedName name="wrn.ControlSheets." localSheetId="52" hidden="1">{"Control_P1",#N/A,FALSE,"Control";"Control_P2",#N/A,FALSE,"Control";"Control_P3",#N/A,FALSE,"Control";"Control_P4",#N/A,FALSE,"Control"}</definedName>
    <definedName name="wrn.ControlSheets." localSheetId="4" hidden="1">{"Control_P1",#N/A,FALSE,"Control";"Control_P2",#N/A,FALSE,"Control";"Control_P3",#N/A,FALSE,"Control";"Control_P4",#N/A,FALSE,"Control"}</definedName>
    <definedName name="wrn.ControlSheets." localSheetId="53" hidden="1">{"Control_P1",#N/A,FALSE,"Control";"Control_P2",#N/A,FALSE,"Control";"Control_P3",#N/A,FALSE,"Control";"Control_P4",#N/A,FALSE,"Control"}</definedName>
    <definedName name="wrn.ControlSheets." localSheetId="57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hidden="1">{#N/A,#N/A,FALSE,"RECAP";#N/A,#N/A,FALSE,"MATBYCLS";#N/A,#N/A,FALSE,"STATUS";#N/A,#N/A,FALSE,"OP-ACT";#N/A,#N/A,FALSE,"W_O"}</definedName>
    <definedName name="wrn.Data." hidden="1">{#N/A,#N/A,FALSE,"3 Year Plan"}</definedName>
    <definedName name="wrn.Data_Contact." localSheetId="16" hidden="1">{"Control_DataContact",#N/A,FALSE,"Control"}</definedName>
    <definedName name="wrn.Data_Contact." localSheetId="19" hidden="1">{"Control_DataContact",#N/A,FALSE,"Control"}</definedName>
    <definedName name="wrn.Data_Contact." localSheetId="36" hidden="1">{"Control_DataContact",#N/A,FALSE,"Control"}</definedName>
    <definedName name="wrn.Data_Contact." localSheetId="37" hidden="1">{"Control_DataContact",#N/A,FALSE,"Control"}</definedName>
    <definedName name="wrn.Data_Contact." localSheetId="52" hidden="1">{"Control_DataContact",#N/A,FALSE,"Control"}</definedName>
    <definedName name="wrn.Data_Contact." localSheetId="4" hidden="1">{"Control_DataContact",#N/A,FALSE,"Control"}</definedName>
    <definedName name="wrn.Data_Contact." localSheetId="53" hidden="1">{"Control_DataContact",#N/A,FALSE,"Control"}</definedName>
    <definedName name="wrn.Data_Contact." localSheetId="57" hidden="1">{"Control_DataContact",#N/A,FALSE,"Control"}</definedName>
    <definedName name="wrn.Data_Contact." hidden="1">{"Control_DataContact",#N/A,FALSE,"Control"}</definedName>
    <definedName name="wrn.Data_Contact._1" hidden="1">{"Control_DataContact",#N/A,FALSE,"Control"}</definedName>
    <definedName name="wrn.Est_2003." localSheetId="16" hidden="1">{"Est_Pg1",#N/A,FALSE,"Estimate2003";"Est_Pg2",#N/A,FALSE,"Estimate2003";"Est_Pg3",#N/A,FALSE,"Estimate2003";"Escalation,",#N/A,FALSE,"Escalation"}</definedName>
    <definedName name="wrn.Est_2003." localSheetId="19" hidden="1">{"Est_Pg1",#N/A,FALSE,"Estimate2003";"Est_Pg2",#N/A,FALSE,"Estimate2003";"Est_Pg3",#N/A,FALSE,"Estimate2003";"Escalation,",#N/A,FALSE,"Escalation"}</definedName>
    <definedName name="wrn.Est_2003." localSheetId="36" hidden="1">{"Est_Pg1",#N/A,FALSE,"Estimate2003";"Est_Pg2",#N/A,FALSE,"Estimate2003";"Est_Pg3",#N/A,FALSE,"Estimate2003";"Escalation,",#N/A,FALSE,"Escalation"}</definedName>
    <definedName name="wrn.Est_2003." localSheetId="37" hidden="1">{"Est_Pg1",#N/A,FALSE,"Estimate2003";"Est_Pg2",#N/A,FALSE,"Estimate2003";"Est_Pg3",#N/A,FALSE,"Estimate2003";"Escalation,",#N/A,FALSE,"Escalation"}</definedName>
    <definedName name="wrn.Est_2003." localSheetId="52" hidden="1">{"Est_Pg1",#N/A,FALSE,"Estimate2003";"Est_Pg2",#N/A,FALSE,"Estimate2003";"Est_Pg3",#N/A,FALSE,"Estimate2003";"Escalation,",#N/A,FALSE,"Escalation"}</definedName>
    <definedName name="wrn.Est_2003." localSheetId="4" hidden="1">{"Est_Pg1",#N/A,FALSE,"Estimate2003";"Est_Pg2",#N/A,FALSE,"Estimate2003";"Est_Pg3",#N/A,FALSE,"Estimate2003";"Escalation,",#N/A,FALSE,"Escalation"}</definedName>
    <definedName name="wrn.Est_2003." localSheetId="53" hidden="1">{"Est_Pg1",#N/A,FALSE,"Estimate2003";"Est_Pg2",#N/A,FALSE,"Estimate2003";"Est_Pg3",#N/A,FALSE,"Estimate2003";"Escalation,",#N/A,FALSE,"Escalation"}</definedName>
    <definedName name="wrn.Est_2003." localSheetId="57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hidden="1">{"fcst",#N/A,FALSE,"data input"}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hidden="1">{#N/A,#N/A,FALSE,"94 FTE";#N/A,#N/A,FALSE,"95 FTE";#N/A,#N/A,FALSE,"96 FTE"}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hidden="1">{#N/A,#N/A,FALSE,"A"}</definedName>
    <definedName name="wrn.Inputs." hidden="1">{"[Cost of Service] COS Inputs Sch 1",#N/A,FALSE,"Cost of Service Model"}</definedName>
    <definedName name="wrn.June2002." hidden="1">{"2002Frcst","06Month",FALSE,"Frcst Format 2002"}</definedName>
    <definedName name="wrn.JVREPORT." hidden="1">{#N/A,#N/A,FALSE,"202";#N/A,#N/A,FALSE,"203";#N/A,#N/A,FALSE,"204";#N/A,#N/A,FALSE,"205";#N/A,#N/A,FALSE,"205A"}</definedName>
    <definedName name="wrn.May2002." hidden="1">{"2002Frcst","05Month",FALSE,"Frcst Format 2002"}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hidden="1">{"Equipment",#N/A,FALSE,"A";"Summary",#N/A,FALSE,"B"}</definedName>
    <definedName name="wrn.MyTestReport." localSheetId="16" hidden="1">{"Alberta",#N/A,FALSE,"Pivot Data";#N/A,#N/A,FALSE,"Pivot Data";"HiddenColumns",#N/A,FALSE,"Pivot Data"}</definedName>
    <definedName name="wrn.MyTestReport." localSheetId="19" hidden="1">{"Alberta",#N/A,FALSE,"Pivot Data";#N/A,#N/A,FALSE,"Pivot Data";"HiddenColumns",#N/A,FALSE,"Pivot Data"}</definedName>
    <definedName name="wrn.MyTestReport." localSheetId="36" hidden="1">{"Alberta",#N/A,FALSE,"Pivot Data";#N/A,#N/A,FALSE,"Pivot Data";"HiddenColumns",#N/A,FALSE,"Pivot Data"}</definedName>
    <definedName name="wrn.MyTestReport." localSheetId="37" hidden="1">{"Alberta",#N/A,FALSE,"Pivot Data";#N/A,#N/A,FALSE,"Pivot Data";"HiddenColumns",#N/A,FALSE,"Pivot Data"}</definedName>
    <definedName name="wrn.MyTestReport." localSheetId="52" hidden="1">{"Alberta",#N/A,FALSE,"Pivot Data";#N/A,#N/A,FALSE,"Pivot Data";"HiddenColumns",#N/A,FALSE,"Pivot Data"}</definedName>
    <definedName name="wrn.MyTestReport." localSheetId="4" hidden="1">{"Alberta",#N/A,FALSE,"Pivot Data";#N/A,#N/A,FALSE,"Pivot Data";"HiddenColumns",#N/A,FALSE,"Pivot Data"}</definedName>
    <definedName name="wrn.MyTestReport." localSheetId="53" hidden="1">{"Alberta",#N/A,FALSE,"Pivot Data";#N/A,#N/A,FALSE,"Pivot Data";"HiddenColumns",#N/A,FALSE,"Pivot Data"}</definedName>
    <definedName name="wrn.MyTestReport." localSheetId="57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hidden="1">{"plan",#N/A,FALSE,"data input"}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hidden="1">{"Var_page",#N/A,FALSE,"template"}</definedName>
    <definedName name="wrn.Print_Variance." hidden="1">{"month_variance",#N/A,FALSE,"template"}</definedName>
    <definedName name="wrn.Print_Variance_Page." hidden="1">{"variance_page",#N/A,FALSE,"template"}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hidden="1">{#N/A,#N/A,FALSE,"3 Year Plan";#N/A,#N/A,FALSE,"3 Year Plan"}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hidden="1">{"RPT1",#N/A,FALSE,"OIC650A"}</definedName>
    <definedName name="wrn.RPT610." hidden="1">{"RPT610",#N/A,FALSE,"Sheet1"}</definedName>
    <definedName name="wrn.Sch.A._.B." localSheetId="16" hidden="1">{"Sch.A_CWC_Summary",#N/A,FALSE,"Sch.A,B";"Sch.B_LLSummary",#N/A,FALSE,"Sch.A,B"}</definedName>
    <definedName name="wrn.Sch.A._.B." localSheetId="19" hidden="1">{"Sch.A_CWC_Summary",#N/A,FALSE,"Sch.A,B";"Sch.B_LLSummary",#N/A,FALSE,"Sch.A,B"}</definedName>
    <definedName name="wrn.Sch.A._.B." localSheetId="36" hidden="1">{"Sch.A_CWC_Summary",#N/A,FALSE,"Sch.A,B";"Sch.B_LLSummary",#N/A,FALSE,"Sch.A,B"}</definedName>
    <definedName name="wrn.Sch.A._.B." localSheetId="37" hidden="1">{"Sch.A_CWC_Summary",#N/A,FALSE,"Sch.A,B";"Sch.B_LLSummary",#N/A,FALSE,"Sch.A,B"}</definedName>
    <definedName name="wrn.Sch.A._.B." localSheetId="52" hidden="1">{"Sch.A_CWC_Summary",#N/A,FALSE,"Sch.A,B";"Sch.B_LLSummary",#N/A,FALSE,"Sch.A,B"}</definedName>
    <definedName name="wrn.Sch.A._.B." localSheetId="4" hidden="1">{"Sch.A_CWC_Summary",#N/A,FALSE,"Sch.A,B";"Sch.B_LLSummary",#N/A,FALSE,"Sch.A,B"}</definedName>
    <definedName name="wrn.Sch.A._.B." localSheetId="53" hidden="1">{"Sch.A_CWC_Summary",#N/A,FALSE,"Sch.A,B";"Sch.B_LLSummary",#N/A,FALSE,"Sch.A,B"}</definedName>
    <definedName name="wrn.Sch.A._.B." localSheetId="57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6" hidden="1">{"Sch.C_Rev_lag",#N/A,FALSE,"Sch.C"}</definedName>
    <definedName name="wrn.Sch.C." localSheetId="19" hidden="1">{"Sch.C_Rev_lag",#N/A,FALSE,"Sch.C"}</definedName>
    <definedName name="wrn.Sch.C." localSheetId="36" hidden="1">{"Sch.C_Rev_lag",#N/A,FALSE,"Sch.C"}</definedName>
    <definedName name="wrn.Sch.C." localSheetId="37" hidden="1">{"Sch.C_Rev_lag",#N/A,FALSE,"Sch.C"}</definedName>
    <definedName name="wrn.Sch.C." localSheetId="52" hidden="1">{"Sch.C_Rev_lag",#N/A,FALSE,"Sch.C"}</definedName>
    <definedName name="wrn.Sch.C." localSheetId="4" hidden="1">{"Sch.C_Rev_lag",#N/A,FALSE,"Sch.C"}</definedName>
    <definedName name="wrn.Sch.C." localSheetId="53" hidden="1">{"Sch.C_Rev_lag",#N/A,FALSE,"Sch.C"}</definedName>
    <definedName name="wrn.Sch.C." localSheetId="57" hidden="1">{"Sch.C_Rev_lag",#N/A,FALSE,"Sch.C"}</definedName>
    <definedName name="wrn.Sch.C." hidden="1">{"Sch.C_Rev_lag",#N/A,FALSE,"Sch.C"}</definedName>
    <definedName name="wrn.Sch.C._1" hidden="1">{"Sch.C_Rev_lag",#N/A,FALSE,"Sch.C"}</definedName>
    <definedName name="wrn.Sch.D." localSheetId="16" hidden="1">{"Sch.D1_GasPurch",#N/A,FALSE,"Sch.D";"Sch.D2_ElecPurch",#N/A,FALSE,"Sch.D"}</definedName>
    <definedName name="wrn.Sch.D." localSheetId="19" hidden="1">{"Sch.D1_GasPurch",#N/A,FALSE,"Sch.D";"Sch.D2_ElecPurch",#N/A,FALSE,"Sch.D"}</definedName>
    <definedName name="wrn.Sch.D." localSheetId="36" hidden="1">{"Sch.D1_GasPurch",#N/A,FALSE,"Sch.D";"Sch.D2_ElecPurch",#N/A,FALSE,"Sch.D"}</definedName>
    <definedName name="wrn.Sch.D." localSheetId="37" hidden="1">{"Sch.D1_GasPurch",#N/A,FALSE,"Sch.D";"Sch.D2_ElecPurch",#N/A,FALSE,"Sch.D"}</definedName>
    <definedName name="wrn.Sch.D." localSheetId="52" hidden="1">{"Sch.D1_GasPurch",#N/A,FALSE,"Sch.D";"Sch.D2_ElecPurch",#N/A,FALSE,"Sch.D"}</definedName>
    <definedName name="wrn.Sch.D." localSheetId="4" hidden="1">{"Sch.D1_GasPurch",#N/A,FALSE,"Sch.D";"Sch.D2_ElecPurch",#N/A,FALSE,"Sch.D"}</definedName>
    <definedName name="wrn.Sch.D." localSheetId="53" hidden="1">{"Sch.D1_GasPurch",#N/A,FALSE,"Sch.D";"Sch.D2_ElecPurch",#N/A,FALSE,"Sch.D"}</definedName>
    <definedName name="wrn.Sch.D." localSheetId="57" hidden="1">{"Sch.D1_GasPurch",#N/A,FALSE,"Sch.D";"Sch.D2_ElecPurch",#N/A,FALSE,"Sch.D"}</definedName>
    <definedName name="wrn.Sch.D.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6" hidden="1">{"Sch.E_PayrollExp",#N/A,TRUE,"Sch.E,F";"Sch.F_FICA",#N/A,TRUE,"Sch.E,F"}</definedName>
    <definedName name="wrn.Sch.E._.F." localSheetId="19" hidden="1">{"Sch.E_PayrollExp",#N/A,TRUE,"Sch.E,F";"Sch.F_FICA",#N/A,TRUE,"Sch.E,F"}</definedName>
    <definedName name="wrn.Sch.E._.F." localSheetId="36" hidden="1">{"Sch.E_PayrollExp",#N/A,TRUE,"Sch.E,F";"Sch.F_FICA",#N/A,TRUE,"Sch.E,F"}</definedName>
    <definedName name="wrn.Sch.E._.F." localSheetId="37" hidden="1">{"Sch.E_PayrollExp",#N/A,TRUE,"Sch.E,F";"Sch.F_FICA",#N/A,TRUE,"Sch.E,F"}</definedName>
    <definedName name="wrn.Sch.E._.F." localSheetId="52" hidden="1">{"Sch.E_PayrollExp",#N/A,TRUE,"Sch.E,F";"Sch.F_FICA",#N/A,TRUE,"Sch.E,F"}</definedName>
    <definedName name="wrn.Sch.E._.F." localSheetId="4" hidden="1">{"Sch.E_PayrollExp",#N/A,TRUE,"Sch.E,F";"Sch.F_FICA",#N/A,TRUE,"Sch.E,F"}</definedName>
    <definedName name="wrn.Sch.E._.F." localSheetId="53" hidden="1">{"Sch.E_PayrollExp",#N/A,TRUE,"Sch.E,F";"Sch.F_FICA",#N/A,TRUE,"Sch.E,F"}</definedName>
    <definedName name="wrn.Sch.E._.F." localSheetId="57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6" hidden="1">{"Sch.G_ICP",#N/A,FALSE,"Sch.G"}</definedName>
    <definedName name="wrn.Sch.G." localSheetId="19" hidden="1">{"Sch.G_ICP",#N/A,FALSE,"Sch.G"}</definedName>
    <definedName name="wrn.Sch.G." localSheetId="36" hidden="1">{"Sch.G_ICP",#N/A,FALSE,"Sch.G"}</definedName>
    <definedName name="wrn.Sch.G." localSheetId="37" hidden="1">{"Sch.G_ICP",#N/A,FALSE,"Sch.G"}</definedName>
    <definedName name="wrn.Sch.G." localSheetId="52" hidden="1">{"Sch.G_ICP",#N/A,FALSE,"Sch.G"}</definedName>
    <definedName name="wrn.Sch.G." localSheetId="4" hidden="1">{"Sch.G_ICP",#N/A,FALSE,"Sch.G"}</definedName>
    <definedName name="wrn.Sch.G." localSheetId="53" hidden="1">{"Sch.G_ICP",#N/A,FALSE,"Sch.G"}</definedName>
    <definedName name="wrn.Sch.G." localSheetId="57" hidden="1">{"Sch.G_ICP",#N/A,FALSE,"Sch.G"}</definedName>
    <definedName name="wrn.Sch.G." hidden="1">{"Sch.G_ICP",#N/A,FALSE,"Sch.G"}</definedName>
    <definedName name="wrn.Sch.G._1" hidden="1">{"Sch.G_ICP",#N/A,FALSE,"Sch.G"}</definedName>
    <definedName name="wrn.Sch.H." localSheetId="16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19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6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2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3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6" hidden="1">{"Sch.I_Goods&amp;Svcs",#N/A,FALSE,"Sch.I"}</definedName>
    <definedName name="wrn.Sch.I." localSheetId="19" hidden="1">{"Sch.I_Goods&amp;Svcs",#N/A,FALSE,"Sch.I"}</definedName>
    <definedName name="wrn.Sch.I." localSheetId="36" hidden="1">{"Sch.I_Goods&amp;Svcs",#N/A,FALSE,"Sch.I"}</definedName>
    <definedName name="wrn.Sch.I." localSheetId="37" hidden="1">{"Sch.I_Goods&amp;Svcs",#N/A,FALSE,"Sch.I"}</definedName>
    <definedName name="wrn.Sch.I." localSheetId="52" hidden="1">{"Sch.I_Goods&amp;Svcs",#N/A,FALSE,"Sch.I"}</definedName>
    <definedName name="wrn.Sch.I." localSheetId="4" hidden="1">{"Sch.I_Goods&amp;Svcs",#N/A,FALSE,"Sch.I"}</definedName>
    <definedName name="wrn.Sch.I." localSheetId="53" hidden="1">{"Sch.I_Goods&amp;Svcs",#N/A,FALSE,"Sch.I"}</definedName>
    <definedName name="wrn.Sch.I." localSheetId="57" hidden="1">{"Sch.I_Goods&amp;Svcs",#N/A,FALSE,"Sch.I"}</definedName>
    <definedName name="wrn.Sch.I." hidden="1">{"Sch.I_Goods&amp;Svcs",#N/A,FALSE,"Sch.I"}</definedName>
    <definedName name="wrn.Sch.I._1" hidden="1">{"Sch.I_Goods&amp;Svcs",#N/A,FALSE,"Sch.I"}</definedName>
    <definedName name="wrn.Sch.J." localSheetId="16" hidden="1">{"Sch.J_CorpChgs",#N/A,FALSE,"Sch.J"}</definedName>
    <definedName name="wrn.Sch.J." localSheetId="19" hidden="1">{"Sch.J_CorpChgs",#N/A,FALSE,"Sch.J"}</definedName>
    <definedName name="wrn.Sch.J." localSheetId="36" hidden="1">{"Sch.J_CorpChgs",#N/A,FALSE,"Sch.J"}</definedName>
    <definedName name="wrn.Sch.J." localSheetId="37" hidden="1">{"Sch.J_CorpChgs",#N/A,FALSE,"Sch.J"}</definedName>
    <definedName name="wrn.Sch.J." localSheetId="52" hidden="1">{"Sch.J_CorpChgs",#N/A,FALSE,"Sch.J"}</definedName>
    <definedName name="wrn.Sch.J." localSheetId="4" hidden="1">{"Sch.J_CorpChgs",#N/A,FALSE,"Sch.J"}</definedName>
    <definedName name="wrn.Sch.J." localSheetId="53" hidden="1">{"Sch.J_CorpChgs",#N/A,FALSE,"Sch.J"}</definedName>
    <definedName name="wrn.Sch.J." localSheetId="57" hidden="1">{"Sch.J_CorpChgs",#N/A,FALSE,"Sch.J"}</definedName>
    <definedName name="wrn.Sch.J." hidden="1">{"Sch.J_CorpChgs",#N/A,FALSE,"Sch.J"}</definedName>
    <definedName name="wrn.Sch.J._1" hidden="1">{"Sch.J_CorpChgs",#N/A,FALSE,"Sch.J"}</definedName>
    <definedName name="wrn.Sch.K." localSheetId="16" hidden="1">{"Sch.K_P1_PropLease",#N/A,FALSE,"Sch.K";"Sch.K_P2_PropLease",#N/A,FALSE,"Sch.K"}</definedName>
    <definedName name="wrn.Sch.K." localSheetId="19" hidden="1">{"Sch.K_P1_PropLease",#N/A,FALSE,"Sch.K";"Sch.K_P2_PropLease",#N/A,FALSE,"Sch.K"}</definedName>
    <definedName name="wrn.Sch.K." localSheetId="36" hidden="1">{"Sch.K_P1_PropLease",#N/A,FALSE,"Sch.K";"Sch.K_P2_PropLease",#N/A,FALSE,"Sch.K"}</definedName>
    <definedName name="wrn.Sch.K." localSheetId="37" hidden="1">{"Sch.K_P1_PropLease",#N/A,FALSE,"Sch.K";"Sch.K_P2_PropLease",#N/A,FALSE,"Sch.K"}</definedName>
    <definedName name="wrn.Sch.K." localSheetId="52" hidden="1">{"Sch.K_P1_PropLease",#N/A,FALSE,"Sch.K";"Sch.K_P2_PropLease",#N/A,FALSE,"Sch.K"}</definedName>
    <definedName name="wrn.Sch.K." localSheetId="4" hidden="1">{"Sch.K_P1_PropLease",#N/A,FALSE,"Sch.K";"Sch.K_P2_PropLease",#N/A,FALSE,"Sch.K"}</definedName>
    <definedName name="wrn.Sch.K." localSheetId="53" hidden="1">{"Sch.K_P1_PropLease",#N/A,FALSE,"Sch.K";"Sch.K_P2_PropLease",#N/A,FALSE,"Sch.K"}</definedName>
    <definedName name="wrn.Sch.K." localSheetId="57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6" hidden="1">{"Sch.L_MaterialIssue",#N/A,FALSE,"Sch.L"}</definedName>
    <definedName name="wrn.Sch.L." localSheetId="19" hidden="1">{"Sch.L_MaterialIssue",#N/A,FALSE,"Sch.L"}</definedName>
    <definedName name="wrn.Sch.L." localSheetId="36" hidden="1">{"Sch.L_MaterialIssue",#N/A,FALSE,"Sch.L"}</definedName>
    <definedName name="wrn.Sch.L." localSheetId="37" hidden="1">{"Sch.L_MaterialIssue",#N/A,FALSE,"Sch.L"}</definedName>
    <definedName name="wrn.Sch.L." localSheetId="52" hidden="1">{"Sch.L_MaterialIssue",#N/A,FALSE,"Sch.L"}</definedName>
    <definedName name="wrn.Sch.L." localSheetId="4" hidden="1">{"Sch.L_MaterialIssue",#N/A,FALSE,"Sch.L"}</definedName>
    <definedName name="wrn.Sch.L." localSheetId="53" hidden="1">{"Sch.L_MaterialIssue",#N/A,FALSE,"Sch.L"}</definedName>
    <definedName name="wrn.Sch.L." localSheetId="57" hidden="1">{"Sch.L_MaterialIssue",#N/A,FALSE,"Sch.L"}</definedName>
    <definedName name="wrn.Sch.L." hidden="1">{"Sch.L_MaterialIssue",#N/A,FALSE,"Sch.L"}</definedName>
    <definedName name="wrn.Sch.L._1" hidden="1">{"Sch.L_MaterialIssue",#N/A,FALSE,"Sch.L"}</definedName>
    <definedName name="wrn.Sch.M." localSheetId="16" hidden="1">{"Sch.M_Prop&amp;FFTaxes",#N/A,FALSE,"Sch.M"}</definedName>
    <definedName name="wrn.Sch.M." localSheetId="19" hidden="1">{"Sch.M_Prop&amp;FFTaxes",#N/A,FALSE,"Sch.M"}</definedName>
    <definedName name="wrn.Sch.M." localSheetId="36" hidden="1">{"Sch.M_Prop&amp;FFTaxes",#N/A,FALSE,"Sch.M"}</definedName>
    <definedName name="wrn.Sch.M." localSheetId="37" hidden="1">{"Sch.M_Prop&amp;FFTaxes",#N/A,FALSE,"Sch.M"}</definedName>
    <definedName name="wrn.Sch.M." localSheetId="52" hidden="1">{"Sch.M_Prop&amp;FFTaxes",#N/A,FALSE,"Sch.M"}</definedName>
    <definedName name="wrn.Sch.M." localSheetId="4" hidden="1">{"Sch.M_Prop&amp;FFTaxes",#N/A,FALSE,"Sch.M"}</definedName>
    <definedName name="wrn.Sch.M." localSheetId="53" hidden="1">{"Sch.M_Prop&amp;FFTaxes",#N/A,FALSE,"Sch.M"}</definedName>
    <definedName name="wrn.Sch.M." localSheetId="57" hidden="1">{"Sch.M_Prop&amp;FFTaxes",#N/A,FALSE,"Sch.M"}</definedName>
    <definedName name="wrn.Sch.M." hidden="1">{"Sch.M_Prop&amp;FFTaxes",#N/A,FALSE,"Sch.M"}</definedName>
    <definedName name="wrn.Sch.M._1" hidden="1">{"Sch.M_Prop&amp;FFTaxes",#N/A,FALSE,"Sch.M"}</definedName>
    <definedName name="wrn.Sch.N." localSheetId="16" hidden="1">{"Sch.N_IncTaxes",#N/A,FALSE,"Sch. N, O"}</definedName>
    <definedName name="wrn.Sch.N." localSheetId="19" hidden="1">{"Sch.N_IncTaxes",#N/A,FALSE,"Sch. N, O"}</definedName>
    <definedName name="wrn.Sch.N." localSheetId="36" hidden="1">{"Sch.N_IncTaxes",#N/A,FALSE,"Sch. N, O"}</definedName>
    <definedName name="wrn.Sch.N." localSheetId="37" hidden="1">{"Sch.N_IncTaxes",#N/A,FALSE,"Sch. N, O"}</definedName>
    <definedName name="wrn.Sch.N." localSheetId="52" hidden="1">{"Sch.N_IncTaxes",#N/A,FALSE,"Sch. N, O"}</definedName>
    <definedName name="wrn.Sch.N." localSheetId="4" hidden="1">{"Sch.N_IncTaxes",#N/A,FALSE,"Sch. N, O"}</definedName>
    <definedName name="wrn.Sch.N." localSheetId="53" hidden="1">{"Sch.N_IncTaxes",#N/A,FALSE,"Sch. N, O"}</definedName>
    <definedName name="wrn.Sch.N." localSheetId="57" hidden="1">{"Sch.N_IncTaxes",#N/A,FALSE,"Sch. N, O"}</definedName>
    <definedName name="wrn.Sch.N." hidden="1">{"Sch.N_IncTaxes",#N/A,FALSE,"Sch. N, O"}</definedName>
    <definedName name="wrn.Sch.N._1" hidden="1">{"Sch.N_IncTaxes",#N/A,FALSE,"Sch. N, O"}</definedName>
    <definedName name="wrn.Sch.O." localSheetId="16" hidden="1">{"Sch.O1_FedITDeferred",#N/A,FALSE,"Sch. N, O";"Sch_O2_Depreciation",#N/A,FALSE,"Sch. N, O";"Sch_O3_AmortInsurance",#N/A,FALSE,"Sch. N, O"}</definedName>
    <definedName name="wrn.Sch.O." localSheetId="19" hidden="1">{"Sch.O1_FedITDeferred",#N/A,FALSE,"Sch. N, O";"Sch_O2_Depreciation",#N/A,FALSE,"Sch. N, O";"Sch_O3_AmortInsurance",#N/A,FALSE,"Sch. N, O"}</definedName>
    <definedName name="wrn.Sch.O." localSheetId="36" hidden="1">{"Sch.O1_FedITDeferred",#N/A,FALSE,"Sch. N, O";"Sch_O2_Depreciation",#N/A,FALSE,"Sch. N, O";"Sch_O3_AmortInsurance",#N/A,FALSE,"Sch. N, O"}</definedName>
    <definedName name="wrn.Sch.O." localSheetId="37" hidden="1">{"Sch.O1_FedITDeferred",#N/A,FALSE,"Sch. N, O";"Sch_O2_Depreciation",#N/A,FALSE,"Sch. N, O";"Sch_O3_AmortInsurance",#N/A,FALSE,"Sch. N, O"}</definedName>
    <definedName name="wrn.Sch.O." localSheetId="52" hidden="1">{"Sch.O1_FedITDeferred",#N/A,FALSE,"Sch. N, O";"Sch_O2_Depreciation",#N/A,FALSE,"Sch. N, O";"Sch_O3_AmortInsurance",#N/A,FALSE,"Sch. N, O"}</definedName>
    <definedName name="wrn.Sch.O." localSheetId="4" hidden="1">{"Sch.O1_FedITDeferred",#N/A,FALSE,"Sch. N, O";"Sch_O2_Depreciation",#N/A,FALSE,"Sch. N, O";"Sch_O3_AmortInsurance",#N/A,FALSE,"Sch. N, O"}</definedName>
    <definedName name="wrn.Sch.O." localSheetId="53" hidden="1">{"Sch.O1_FedITDeferred",#N/A,FALSE,"Sch. N, O";"Sch_O2_Depreciation",#N/A,FALSE,"Sch. N, O";"Sch_O3_AmortInsurance",#N/A,FALSE,"Sch. N, O"}</definedName>
    <definedName name="wrn.Sch.O." localSheetId="57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6" hidden="1">{"Sch.P_BS_Bal",#N/A,FALSE,"WP-BS Elem"}</definedName>
    <definedName name="wrn.Sch.P." localSheetId="19" hidden="1">{"Sch.P_BS_Bal",#N/A,FALSE,"WP-BS Elem"}</definedName>
    <definedName name="wrn.Sch.P." localSheetId="36" hidden="1">{"Sch.P_BS_Bal",#N/A,FALSE,"WP-BS Elem"}</definedName>
    <definedName name="wrn.Sch.P." localSheetId="37" hidden="1">{"Sch.P_BS_Bal",#N/A,FALSE,"WP-BS Elem"}</definedName>
    <definedName name="wrn.Sch.P." localSheetId="52" hidden="1">{"Sch.P_BS_Bal",#N/A,FALSE,"WP-BS Elem"}</definedName>
    <definedName name="wrn.Sch.P." localSheetId="4" hidden="1">{"Sch.P_BS_Bal",#N/A,FALSE,"WP-BS Elem"}</definedName>
    <definedName name="wrn.Sch.P." localSheetId="53" hidden="1">{"Sch.P_BS_Bal",#N/A,FALSE,"WP-BS Elem"}</definedName>
    <definedName name="wrn.Sch.P." localSheetId="57" hidden="1">{"Sch.P_BS_Bal",#N/A,FALSE,"WP-BS Elem"}</definedName>
    <definedName name="wrn.Sch.P." hidden="1">{"Sch.P_BS_Bal",#N/A,FALSE,"WP-BS Elem"}</definedName>
    <definedName name="wrn.Sch.P._.Accts." localSheetId="16" hidden="1">{"Sch.P_BS_Accts",#N/A,FALSE,"WP-BS Elem"}</definedName>
    <definedName name="wrn.Sch.P._.Accts." localSheetId="19" hidden="1">{"Sch.P_BS_Accts",#N/A,FALSE,"WP-BS Elem"}</definedName>
    <definedName name="wrn.Sch.P._.Accts." localSheetId="36" hidden="1">{"Sch.P_BS_Accts",#N/A,FALSE,"WP-BS Elem"}</definedName>
    <definedName name="wrn.Sch.P._.Accts." localSheetId="37" hidden="1">{"Sch.P_BS_Accts",#N/A,FALSE,"WP-BS Elem"}</definedName>
    <definedName name="wrn.Sch.P._.Accts." localSheetId="52" hidden="1">{"Sch.P_BS_Accts",#N/A,FALSE,"WP-BS Elem"}</definedName>
    <definedName name="wrn.Sch.P._.Accts." localSheetId="4" hidden="1">{"Sch.P_BS_Accts",#N/A,FALSE,"WP-BS Elem"}</definedName>
    <definedName name="wrn.Sch.P._.Accts." localSheetId="53" hidden="1">{"Sch.P_BS_Accts",#N/A,FALSE,"WP-BS Elem"}</definedName>
    <definedName name="wrn.Sch.P._.Accts." localSheetId="57" hidden="1">{"Sch.P_BS_Accts",#N/A,FALSE,"WP-BS Elem"}</definedName>
    <definedName name="wrn.Sch.P._.Accts." hidden="1">{"Sch.P_BS_Accts",#N/A,FALSE,"WP-BS Elem"}</definedName>
    <definedName name="wrn.Sch.P._.Accts._1" hidden="1">{"Sch.P_BS_Accts",#N/A,FALSE,"WP-BS Elem"}</definedName>
    <definedName name="wrn.Sch.P._1" hidden="1">{"Sch.P_BS_Bal",#N/A,FALSE,"WP-BS Elem"}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hidden="1">{"Income Statement",#N/A,FALSE,"CFMODEL";"Balance Sheet",#N/A,FALSE,"CFMODEL"}</definedName>
    <definedName name="wrn.test2." hidden="1">{"SourcesUses",#N/A,TRUE,"CFMODEL";"TransOverview",#N/A,TRUE,"CFMODEL"}</definedName>
    <definedName name="wrn.test3." hidden="1">{"SourcesUses",#N/A,TRUE,#N/A;"TransOverview",#N/A,TRUE,"CFMODEL"}</definedName>
    <definedName name="wrn.test3.2" hidden="1">{"SourcesUses",#N/A,TRUE,#N/A;"TransOverview",#N/A,TRUE,"CFMODEL"}</definedName>
    <definedName name="wrn.test4." hidden="1">{"SourcesUses",#N/A,TRUE,"FundsFlow";"TransOverview",#N/A,TRUE,"FundsFlow"}</definedName>
    <definedName name="wrn.test42." hidden="1">{"SourcesUses",#N/A,TRUE,"FundsFlow";"TransOverview",#N/A,TRUE,"FundsFlow"}</definedName>
    <definedName name="wrn.TEST610." hidden="1">{"TEST610",#N/A,FALSE,"Sheet1"}</definedName>
    <definedName name="wrn.TEST611." hidden="1">{"TEST611",#N/A,FALSE,"Sheet1"}</definedName>
    <definedName name="wrn.total._.10._.yr." hidden="1">{"total_10yr",#N/A,FALSE,"Data (t8-t4)"}</definedName>
    <definedName name="wrn.total._.98." hidden="1">{"total_98",#N/A,FALSE,"Data (t8-t4)"}</definedName>
    <definedName name="wrn.XX." hidden="1">{#N/A,#N/A,FALSE,"337"}</definedName>
    <definedName name="WTDEVCOSTS" hidden="1">[19]Title!$T$81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hidden="1">{#N/A,#N/A,FALSE,"Aging Summary";#N/A,#N/A,FALSE,"Ratio Analysis";#N/A,#N/A,FALSE,"Test 120 Day Accts";#N/A,#N/A,FALSE,"Tickmarks"}</definedName>
    <definedName name="XREF_COLUMN_1" hidden="1">#REF!</definedName>
    <definedName name="XREF_COLUMN_10" hidden="1">#REF!</definedName>
    <definedName name="XREF_COLUMN_2" hidden="1">[33]Lead!#REF!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[34]XREF!#REF!</definedName>
    <definedName name="XRefCopy3" hidden="1">#REF!</definedName>
    <definedName name="XRefCopy3Row" hidden="1">#REF!</definedName>
    <definedName name="XRefCopy4" hidden="1">'[35]Cédula de Movimientos'!#REF!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[35]Depreciación!#REF!</definedName>
    <definedName name="XRefPaste4Row" hidden="1">#REF!</definedName>
    <definedName name="XRefPaste5Row" hidden="1">#REF!</definedName>
    <definedName name="XRefPaste6" hidden="1">[35]Depreciación!#REF!</definedName>
    <definedName name="XRefPaste6Row" hidden="1">[36]XREF!#REF!</definedName>
    <definedName name="XRefPasteRangeCount" hidden="1">3</definedName>
    <definedName name="xxx" localSheetId="16" hidden="1">[37]A!#REF!</definedName>
    <definedName name="xxx" localSheetId="19" hidden="1">[37]A!#REF!</definedName>
    <definedName name="xxx" localSheetId="33" hidden="1">[37]A!#REF!</definedName>
    <definedName name="xxx" localSheetId="37" hidden="1">[38]A!#REF!</definedName>
    <definedName name="xxx" localSheetId="52" hidden="1">[38]A!#REF!</definedName>
    <definedName name="xxx" localSheetId="4" hidden="1">[38]A!#REF!</definedName>
    <definedName name="xxx" localSheetId="5" hidden="1">[37]A!#REF!</definedName>
    <definedName name="xxx" localSheetId="57" hidden="1">[38]A!#REF!</definedName>
    <definedName name="xxx" hidden="1">[37]A!#REF!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Z_598CECA0_5C60_11D3_B382_005004054BC5_.wvu.Rows" hidden="1">[39]Inputs!$A$6:$IV$7,[39]Inputs!$A$9:$IV$15,[39]Inputs!$A$22:$IV$23</definedName>
    <definedName name="zzzzzzzzzz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hidden="1">{"Income Statement",#N/A,FALSE,"CFMODEL";"Balance Sheet",#N/A,FALSE,"CFMODEL"}</definedName>
    <definedName name="zzzzzzzzzzzzzzzzzzzzzzzzzzz" hidden="1">{"SourcesUses",#N/A,TRUE,"FundsFlow";"TransOverview",#N/A,TRUE,"FundsFlow"}</definedName>
    <definedName name="zzzzzzzzzzzzzzzzzzzzzzzzzzzzz" hidden="1">{"SourcesUses",#N/A,TRUE,"CFMODEL";"TransOverview",#N/A,TRUE,"CFMODEL"}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6" i="40" l="1"/>
  <c r="E11" i="41"/>
  <c r="E67" i="41"/>
  <c r="A51" i="41"/>
  <c r="A52" i="41"/>
  <c r="A53" i="41"/>
  <c r="A54" i="41"/>
  <c r="A55" i="41" s="1"/>
  <c r="A56" i="41" s="1"/>
  <c r="A57" i="41" s="1"/>
  <c r="A58" i="41" s="1"/>
  <c r="A59" i="41" s="1"/>
  <c r="A60" i="41" s="1"/>
  <c r="A61" i="41" s="1"/>
  <c r="A62" i="41" s="1"/>
  <c r="A63" i="41" s="1"/>
  <c r="A64" i="41" s="1"/>
  <c r="A65" i="41" s="1"/>
  <c r="A66" i="41" s="1"/>
  <c r="A67" i="41" s="1"/>
  <c r="A68" i="41" s="1"/>
  <c r="A69" i="41" s="1"/>
  <c r="A70" i="41" s="1"/>
  <c r="A71" i="41" s="1"/>
  <c r="A72" i="41" s="1"/>
  <c r="A73" i="41" s="1"/>
  <c r="A74" i="41" s="1"/>
  <c r="A75" i="41" s="1"/>
  <c r="D17" i="157"/>
  <c r="E24" i="156" l="1"/>
  <c r="E32" i="40" l="1"/>
  <c r="F26" i="168" l="1"/>
  <c r="B5" i="168"/>
  <c r="B26" i="168"/>
  <c r="B15" i="168"/>
  <c r="B14" i="168"/>
  <c r="C31" i="168"/>
  <c r="E28" i="168"/>
  <c r="E31" i="168" s="1"/>
  <c r="E34" i="9" s="1"/>
  <c r="C28" i="168"/>
  <c r="A15" i="168"/>
  <c r="A16" i="168" s="1"/>
  <c r="A17" i="168" s="1"/>
  <c r="A18" i="168" s="1"/>
  <c r="A19" i="168" s="1"/>
  <c r="A20" i="168" s="1"/>
  <c r="A21" i="168" s="1"/>
  <c r="A22" i="168" s="1"/>
  <c r="A23" i="168" s="1"/>
  <c r="A24" i="168" s="1"/>
  <c r="A25" i="168" s="1"/>
  <c r="A26" i="168" s="1"/>
  <c r="G14" i="168"/>
  <c r="G15" i="168" s="1"/>
  <c r="G16" i="168" s="1"/>
  <c r="G17" i="168" s="1"/>
  <c r="G18" i="168" s="1"/>
  <c r="G19" i="168" s="1"/>
  <c r="G20" i="168" s="1"/>
  <c r="G21" i="168" s="1"/>
  <c r="G22" i="168" s="1"/>
  <c r="G23" i="168" s="1"/>
  <c r="G24" i="168" s="1"/>
  <c r="G25" i="168" s="1"/>
  <c r="G26" i="168" s="1"/>
  <c r="G27" i="168" s="1"/>
  <c r="G28" i="168" s="1"/>
  <c r="G29" i="168" s="1"/>
  <c r="G30" i="168" s="1"/>
  <c r="G31" i="168" s="1"/>
  <c r="G32" i="168" s="1"/>
  <c r="D31" i="168" l="1"/>
  <c r="F28" i="168"/>
  <c r="F31" i="168"/>
  <c r="D28" i="168"/>
  <c r="A27" i="168"/>
  <c r="A28" i="168" s="1"/>
  <c r="A29" i="168" s="1"/>
  <c r="A30" i="168" s="1"/>
  <c r="A31" i="168" s="1"/>
  <c r="A32" i="168" s="1"/>
  <c r="G21" i="66" l="1"/>
  <c r="F22" i="157" l="1"/>
  <c r="B5" i="156" l="1"/>
  <c r="B5" i="154" l="1"/>
  <c r="E38" i="114" l="1"/>
  <c r="C26" i="113"/>
  <c r="C52" i="84" l="1"/>
  <c r="E51" i="150" l="1"/>
  <c r="D56" i="150"/>
  <c r="F11" i="150"/>
  <c r="F12" i="150"/>
  <c r="F13" i="150"/>
  <c r="F14" i="150"/>
  <c r="F15" i="150"/>
  <c r="F16" i="150"/>
  <c r="F17" i="150"/>
  <c r="F18" i="150"/>
  <c r="F19" i="150"/>
  <c r="F20" i="150"/>
  <c r="F21" i="150"/>
  <c r="F22" i="150"/>
  <c r="F23" i="150"/>
  <c r="F24" i="150"/>
  <c r="F25" i="150"/>
  <c r="F26" i="150"/>
  <c r="F27" i="150"/>
  <c r="F28" i="150"/>
  <c r="F29" i="150"/>
  <c r="F30" i="150"/>
  <c r="F31" i="150"/>
  <c r="F32" i="150"/>
  <c r="F33" i="150"/>
  <c r="F34" i="150"/>
  <c r="F35" i="150"/>
  <c r="F36" i="150"/>
  <c r="F37" i="150"/>
  <c r="F38" i="150"/>
  <c r="F39" i="150"/>
  <c r="F40" i="150"/>
  <c r="F41" i="150"/>
  <c r="F42" i="150"/>
  <c r="F43" i="150"/>
  <c r="F44" i="150"/>
  <c r="F45" i="150"/>
  <c r="F46" i="150"/>
  <c r="F47" i="150"/>
  <c r="F48" i="150"/>
  <c r="F49" i="150"/>
  <c r="F50" i="150"/>
  <c r="F51" i="150"/>
  <c r="F52" i="150"/>
  <c r="F53" i="150"/>
  <c r="F54" i="150"/>
  <c r="F55" i="150"/>
  <c r="F56" i="150"/>
  <c r="F57" i="150"/>
  <c r="F58" i="150"/>
  <c r="F59" i="150"/>
  <c r="E23" i="150" l="1"/>
  <c r="F31" i="23" l="1"/>
  <c r="E42" i="40" l="1"/>
  <c r="E41" i="40"/>
  <c r="E40" i="40"/>
  <c r="E39" i="40"/>
  <c r="E38" i="40"/>
  <c r="E37" i="40"/>
  <c r="E36" i="40"/>
  <c r="E35" i="40"/>
  <c r="E34" i="40"/>
  <c r="E24" i="69" s="1"/>
  <c r="E33" i="40"/>
  <c r="E53" i="42"/>
  <c r="E51" i="42"/>
  <c r="E48" i="42"/>
  <c r="E42" i="42"/>
  <c r="E40" i="42"/>
  <c r="E37" i="42"/>
  <c r="C58" i="42"/>
  <c r="E55" i="42" l="1"/>
  <c r="J30" i="165"/>
  <c r="J35" i="165"/>
  <c r="B5" i="84" l="1"/>
  <c r="G87" i="82" l="1"/>
  <c r="B5" i="112" l="1"/>
  <c r="D14" i="25" l="1"/>
  <c r="D14" i="26"/>
  <c r="F14" i="23"/>
  <c r="K15" i="11"/>
  <c r="K16" i="11"/>
  <c r="K17" i="11"/>
  <c r="K18" i="11"/>
  <c r="K19" i="11"/>
  <c r="D21" i="11"/>
  <c r="E21" i="11"/>
  <c r="F21" i="11"/>
  <c r="G21" i="11"/>
  <c r="H21" i="11"/>
  <c r="I21" i="11"/>
  <c r="J21" i="11"/>
  <c r="K23" i="11"/>
  <c r="K24" i="11"/>
  <c r="K25" i="11"/>
  <c r="K26" i="11"/>
  <c r="K27" i="11"/>
  <c r="K28" i="11"/>
  <c r="K29" i="11"/>
  <c r="D15" i="14"/>
  <c r="K21" i="11" l="1"/>
  <c r="B5" i="161" l="1"/>
  <c r="J40" i="167" l="1"/>
  <c r="J40" i="165"/>
  <c r="B2" i="158" l="1"/>
  <c r="B2" i="157" l="1"/>
  <c r="B2" i="154"/>
  <c r="B2" i="156"/>
  <c r="B2" i="114"/>
  <c r="B2" i="113"/>
  <c r="B38" i="113" s="1"/>
  <c r="B2" i="111"/>
  <c r="J45" i="165" l="1"/>
  <c r="B3" i="158" l="1"/>
  <c r="G31" i="46" l="1"/>
  <c r="C42" i="154" l="1"/>
  <c r="C44" i="154"/>
  <c r="F24" i="156" l="1"/>
  <c r="B52" i="146"/>
  <c r="B51" i="146"/>
  <c r="G27" i="46"/>
  <c r="F29" i="156" l="1"/>
  <c r="F25" i="156"/>
  <c r="F28" i="156"/>
  <c r="F27" i="156"/>
  <c r="F26" i="156"/>
  <c r="F30" i="156"/>
  <c r="G25" i="46"/>
  <c r="G23" i="46"/>
  <c r="G21" i="46"/>
  <c r="G93" i="113"/>
  <c r="G15" i="46"/>
  <c r="E15" i="46"/>
  <c r="E23" i="41" l="1"/>
  <c r="B71" i="40" l="1"/>
  <c r="B27" i="163" l="1"/>
  <c r="B16" i="163"/>
  <c r="B15" i="163"/>
  <c r="B5" i="163"/>
  <c r="B5" i="9" l="1"/>
  <c r="G146" i="82" l="1"/>
  <c r="G143" i="82"/>
  <c r="G134" i="82"/>
  <c r="G144" i="82"/>
  <c r="J126" i="82"/>
  <c r="J127" i="82" s="1"/>
  <c r="J128" i="82" s="1"/>
  <c r="J129" i="82" s="1"/>
  <c r="J130" i="82" s="1"/>
  <c r="J131" i="82" s="1"/>
  <c r="J132" i="82" s="1"/>
  <c r="J133" i="82" s="1"/>
  <c r="J134" i="82" s="1"/>
  <c r="J135" i="82" s="1"/>
  <c r="J136" i="82" s="1"/>
  <c r="J137" i="82" s="1"/>
  <c r="J138" i="82" s="1"/>
  <c r="J139" i="82" s="1"/>
  <c r="J140" i="82" s="1"/>
  <c r="J141" i="82" s="1"/>
  <c r="J142" i="82" s="1"/>
  <c r="J143" i="82" s="1"/>
  <c r="J144" i="82" s="1"/>
  <c r="J145" i="82" s="1"/>
  <c r="J146" i="82" s="1"/>
  <c r="J147" i="82" s="1"/>
  <c r="J148" i="82" s="1"/>
  <c r="J149" i="82" s="1"/>
  <c r="J150" i="82" s="1"/>
  <c r="J151" i="82" s="1"/>
  <c r="J152" i="82" s="1"/>
  <c r="J153" i="82" s="1"/>
  <c r="J154" i="82" s="1"/>
  <c r="J155" i="82" s="1"/>
  <c r="B146" i="82"/>
  <c r="B145" i="82"/>
  <c r="B143" i="82"/>
  <c r="B142" i="82"/>
  <c r="B134" i="82"/>
  <c r="B131" i="82"/>
  <c r="B130" i="82"/>
  <c r="A126" i="82"/>
  <c r="A127" i="82" s="1"/>
  <c r="A128" i="82" s="1"/>
  <c r="A129" i="82" s="1"/>
  <c r="A130" i="82" s="1"/>
  <c r="A131" i="82" s="1"/>
  <c r="A132" i="82" s="1"/>
  <c r="A133" i="82" s="1"/>
  <c r="A134" i="82" s="1"/>
  <c r="A135" i="82" s="1"/>
  <c r="A136" i="82" s="1"/>
  <c r="A137" i="82" s="1"/>
  <c r="A138" i="82" s="1"/>
  <c r="A139" i="82" s="1"/>
  <c r="A140" i="82" s="1"/>
  <c r="A141" i="82" s="1"/>
  <c r="A142" i="82" s="1"/>
  <c r="A143" i="82" s="1"/>
  <c r="A144" i="82" s="1"/>
  <c r="A145" i="82" s="1"/>
  <c r="A146" i="82" s="1"/>
  <c r="A147" i="82" s="1"/>
  <c r="A148" i="82" s="1"/>
  <c r="A149" i="82" s="1"/>
  <c r="A150" i="82" s="1"/>
  <c r="A151" i="82" s="1"/>
  <c r="A152" i="82" s="1"/>
  <c r="A153" i="82" s="1"/>
  <c r="A154" i="82" s="1"/>
  <c r="A155" i="82" s="1"/>
  <c r="H10" i="162"/>
  <c r="H11" i="162" s="1"/>
  <c r="H12" i="162" s="1"/>
  <c r="H13" i="162" s="1"/>
  <c r="H14" i="162" s="1"/>
  <c r="H15" i="162" s="1"/>
  <c r="H16" i="162" s="1"/>
  <c r="A11" i="162"/>
  <c r="A12" i="162" s="1"/>
  <c r="A13" i="162" s="1"/>
  <c r="A14" i="162" s="1"/>
  <c r="A15" i="162" s="1"/>
  <c r="A16" i="162" s="1"/>
  <c r="I142" i="82" l="1"/>
  <c r="I143" i="82"/>
  <c r="I151" i="82"/>
  <c r="I144" i="82"/>
  <c r="I145" i="82"/>
  <c r="I155" i="82"/>
  <c r="E84" i="146" l="1"/>
  <c r="F80" i="146"/>
  <c r="F81" i="146"/>
  <c r="F82" i="146"/>
  <c r="F83" i="146"/>
  <c r="F84" i="146"/>
  <c r="F60" i="146"/>
  <c r="F61" i="146"/>
  <c r="F62" i="146"/>
  <c r="F63" i="146"/>
  <c r="F64" i="146"/>
  <c r="F65" i="146"/>
  <c r="F66" i="146"/>
  <c r="F67" i="146"/>
  <c r="F68" i="146"/>
  <c r="F69" i="146"/>
  <c r="F70" i="146"/>
  <c r="F71" i="146"/>
  <c r="F72" i="146"/>
  <c r="F73" i="146"/>
  <c r="F74" i="146"/>
  <c r="F75" i="146"/>
  <c r="F76" i="146"/>
  <c r="F77" i="146"/>
  <c r="F78" i="146"/>
  <c r="F79" i="146"/>
  <c r="J45" i="167"/>
  <c r="B5" i="167"/>
  <c r="I45" i="167"/>
  <c r="G21" i="34" s="1"/>
  <c r="G42" i="167"/>
  <c r="E42" i="167"/>
  <c r="C42" i="167"/>
  <c r="I41" i="167"/>
  <c r="I40" i="167"/>
  <c r="G37" i="167"/>
  <c r="E37" i="167"/>
  <c r="C37" i="167"/>
  <c r="I36" i="167"/>
  <c r="I35" i="167"/>
  <c r="G32" i="167"/>
  <c r="E32" i="167"/>
  <c r="C32" i="167"/>
  <c r="I31" i="167"/>
  <c r="I30" i="167"/>
  <c r="G26" i="167"/>
  <c r="E26" i="167"/>
  <c r="C26" i="167"/>
  <c r="I25" i="167"/>
  <c r="I24" i="167"/>
  <c r="G21" i="167"/>
  <c r="E21" i="167"/>
  <c r="C21" i="167"/>
  <c r="I20" i="167"/>
  <c r="I19" i="167"/>
  <c r="G16" i="167"/>
  <c r="E16" i="167"/>
  <c r="C16" i="167"/>
  <c r="I15" i="167"/>
  <c r="I14" i="167"/>
  <c r="I13" i="167"/>
  <c r="A13" i="167"/>
  <c r="K12" i="167"/>
  <c r="K13" i="167" s="1"/>
  <c r="K14" i="167" s="1"/>
  <c r="K15" i="167" s="1"/>
  <c r="K16" i="167" s="1"/>
  <c r="K17" i="167" s="1"/>
  <c r="K18" i="167" s="1"/>
  <c r="K19" i="167" s="1"/>
  <c r="K20" i="167" s="1"/>
  <c r="K21" i="167" s="1"/>
  <c r="K22" i="167" s="1"/>
  <c r="K23" i="167" s="1"/>
  <c r="K24" i="167" s="1"/>
  <c r="K25" i="167" s="1"/>
  <c r="K26" i="167" s="1"/>
  <c r="K27" i="167" s="1"/>
  <c r="K28" i="167" s="1"/>
  <c r="K29" i="167" s="1"/>
  <c r="K30" i="167" s="1"/>
  <c r="K31" i="167" s="1"/>
  <c r="K32" i="167" s="1"/>
  <c r="K33" i="167" s="1"/>
  <c r="K34" i="167" s="1"/>
  <c r="K35" i="167" s="1"/>
  <c r="K36" i="167" s="1"/>
  <c r="K37" i="167" s="1"/>
  <c r="K38" i="167" s="1"/>
  <c r="K39" i="167" s="1"/>
  <c r="K40" i="167" s="1"/>
  <c r="K41" i="167" s="1"/>
  <c r="K42" i="167" s="1"/>
  <c r="K43" i="167" s="1"/>
  <c r="K44" i="167" s="1"/>
  <c r="K45" i="167" s="1"/>
  <c r="I45" i="165"/>
  <c r="E21" i="34" s="1"/>
  <c r="G42" i="165"/>
  <c r="E42" i="165"/>
  <c r="C42" i="165"/>
  <c r="I41" i="165"/>
  <c r="I40" i="165"/>
  <c r="G37" i="165"/>
  <c r="E37" i="165"/>
  <c r="C37" i="165"/>
  <c r="I36" i="165"/>
  <c r="I35" i="165"/>
  <c r="G32" i="165"/>
  <c r="E32" i="165"/>
  <c r="C32" i="165"/>
  <c r="I31" i="165"/>
  <c r="I30" i="165"/>
  <c r="B5" i="165"/>
  <c r="G26" i="165"/>
  <c r="E26" i="165"/>
  <c r="C26" i="165"/>
  <c r="I25" i="165"/>
  <c r="I24" i="165"/>
  <c r="G21" i="165"/>
  <c r="E21" i="165"/>
  <c r="C21" i="165"/>
  <c r="I20" i="165"/>
  <c r="I19" i="165"/>
  <c r="G16" i="165"/>
  <c r="E16" i="165"/>
  <c r="C16" i="165"/>
  <c r="I15" i="165"/>
  <c r="I14" i="165"/>
  <c r="I13" i="165"/>
  <c r="A13" i="165"/>
  <c r="K12" i="165"/>
  <c r="K13" i="165" s="1"/>
  <c r="K14" i="165" s="1"/>
  <c r="K15" i="165" s="1"/>
  <c r="K16" i="165" s="1"/>
  <c r="K17" i="165" s="1"/>
  <c r="K18" i="165" s="1"/>
  <c r="K19" i="165" s="1"/>
  <c r="K20" i="165" s="1"/>
  <c r="K21" i="165" s="1"/>
  <c r="K22" i="165" s="1"/>
  <c r="K23" i="165" s="1"/>
  <c r="K24" i="165" s="1"/>
  <c r="K25" i="165" s="1"/>
  <c r="K26" i="165" s="1"/>
  <c r="K27" i="165" s="1"/>
  <c r="K28" i="165" s="1"/>
  <c r="K29" i="165" s="1"/>
  <c r="K30" i="165" s="1"/>
  <c r="K31" i="165" s="1"/>
  <c r="K32" i="165" s="1"/>
  <c r="K33" i="165" s="1"/>
  <c r="K34" i="165" s="1"/>
  <c r="K35" i="165" s="1"/>
  <c r="K36" i="165" s="1"/>
  <c r="K37" i="165" s="1"/>
  <c r="K38" i="165" s="1"/>
  <c r="K39" i="165" s="1"/>
  <c r="K40" i="165" s="1"/>
  <c r="K41" i="165" s="1"/>
  <c r="K42" i="165" s="1"/>
  <c r="K43" i="165" s="1"/>
  <c r="K44" i="165" s="1"/>
  <c r="K45" i="165" s="1"/>
  <c r="A14" i="167" l="1"/>
  <c r="A15" i="167" s="1"/>
  <c r="A16" i="167" s="1"/>
  <c r="A17" i="167" s="1"/>
  <c r="A18" i="167" s="1"/>
  <c r="A19" i="167" s="1"/>
  <c r="A20" i="167" s="1"/>
  <c r="A21" i="167" s="1"/>
  <c r="A22" i="167" s="1"/>
  <c r="A23" i="167" s="1"/>
  <c r="A24" i="167" s="1"/>
  <c r="A25" i="167" s="1"/>
  <c r="A26" i="167" s="1"/>
  <c r="A27" i="167" s="1"/>
  <c r="A28" i="167" s="1"/>
  <c r="A29" i="167" s="1"/>
  <c r="A30" i="167" s="1"/>
  <c r="J16" i="167"/>
  <c r="I32" i="167"/>
  <c r="I37" i="167"/>
  <c r="I42" i="167"/>
  <c r="A14" i="165"/>
  <c r="A15" i="165" s="1"/>
  <c r="A16" i="165" s="1"/>
  <c r="A17" i="165" s="1"/>
  <c r="A18" i="165" s="1"/>
  <c r="A19" i="165" s="1"/>
  <c r="I42" i="165"/>
  <c r="I21" i="165"/>
  <c r="C84" i="146"/>
  <c r="I26" i="167"/>
  <c r="G15" i="34" s="1"/>
  <c r="I21" i="167"/>
  <c r="I16" i="167"/>
  <c r="I16" i="165"/>
  <c r="I26" i="165"/>
  <c r="I37" i="165"/>
  <c r="I32" i="165"/>
  <c r="A20" i="165" l="1"/>
  <c r="A21" i="165" s="1"/>
  <c r="A22" i="165" s="1"/>
  <c r="A23" i="165" s="1"/>
  <c r="A24" i="165" s="1"/>
  <c r="J21" i="165"/>
  <c r="J16" i="165"/>
  <c r="G13" i="34"/>
  <c r="A31" i="167"/>
  <c r="A32" i="167" s="1"/>
  <c r="A33" i="167" s="1"/>
  <c r="A34" i="167" s="1"/>
  <c r="A35" i="167" s="1"/>
  <c r="J32" i="167"/>
  <c r="G11" i="34"/>
  <c r="J21" i="167"/>
  <c r="E11" i="34"/>
  <c r="E15" i="34"/>
  <c r="E13" i="34"/>
  <c r="A25" i="165" l="1"/>
  <c r="A26" i="165" s="1"/>
  <c r="A27" i="165" s="1"/>
  <c r="A28" i="165" s="1"/>
  <c r="A29" i="165" s="1"/>
  <c r="A30" i="165" s="1"/>
  <c r="A36" i="167"/>
  <c r="A37" i="167" s="1"/>
  <c r="A38" i="167" s="1"/>
  <c r="A39" i="167" s="1"/>
  <c r="A40" i="167" s="1"/>
  <c r="J37" i="167"/>
  <c r="J26" i="167"/>
  <c r="J26" i="165" l="1"/>
  <c r="A31" i="165"/>
  <c r="A32" i="165" s="1"/>
  <c r="A33" i="165" s="1"/>
  <c r="A34" i="165" s="1"/>
  <c r="A35" i="165" s="1"/>
  <c r="A36" i="165" s="1"/>
  <c r="A37" i="165" s="1"/>
  <c r="A38" i="165" s="1"/>
  <c r="A39" i="165" s="1"/>
  <c r="A40" i="165" s="1"/>
  <c r="A41" i="165" s="1"/>
  <c r="A42" i="165" s="1"/>
  <c r="A43" i="165" s="1"/>
  <c r="A44" i="165" s="1"/>
  <c r="A45" i="165" s="1"/>
  <c r="A41" i="167"/>
  <c r="A42" i="167" s="1"/>
  <c r="A43" i="167" s="1"/>
  <c r="A44" i="167" s="1"/>
  <c r="A45" i="167" s="1"/>
  <c r="J32" i="165" l="1"/>
  <c r="J42" i="165"/>
  <c r="J42" i="167"/>
  <c r="K11" i="34"/>
  <c r="J37" i="165" l="1"/>
  <c r="K13" i="34" l="1"/>
  <c r="I23" i="34"/>
  <c r="C46" i="146" s="1"/>
  <c r="I19" i="34"/>
  <c r="C41" i="146" s="1"/>
  <c r="E29" i="163"/>
  <c r="E32" i="163" s="1"/>
  <c r="I23" i="2" s="1"/>
  <c r="C29" i="163"/>
  <c r="C32" i="163" s="1"/>
  <c r="A16" i="163"/>
  <c r="A17" i="163" s="1"/>
  <c r="A18" i="163" s="1"/>
  <c r="A19" i="163" s="1"/>
  <c r="A20" i="163" s="1"/>
  <c r="A21" i="163" s="1"/>
  <c r="A22" i="163" s="1"/>
  <c r="A23" i="163" s="1"/>
  <c r="A24" i="163" s="1"/>
  <c r="A25" i="163" s="1"/>
  <c r="A26" i="163" s="1"/>
  <c r="A27" i="163" s="1"/>
  <c r="G15" i="163"/>
  <c r="G16" i="163" s="1"/>
  <c r="G17" i="163" s="1"/>
  <c r="G18" i="163" s="1"/>
  <c r="G19" i="163" s="1"/>
  <c r="G20" i="163" s="1"/>
  <c r="G21" i="163" s="1"/>
  <c r="G22" i="163" s="1"/>
  <c r="G23" i="163" s="1"/>
  <c r="G24" i="163" s="1"/>
  <c r="G25" i="163" s="1"/>
  <c r="G26" i="163" s="1"/>
  <c r="G27" i="163" s="1"/>
  <c r="G28" i="163" s="1"/>
  <c r="G29" i="163" s="1"/>
  <c r="G30" i="163" s="1"/>
  <c r="G31" i="163" s="1"/>
  <c r="G32" i="163" s="1"/>
  <c r="G33" i="163" s="1"/>
  <c r="K15" i="34" l="1"/>
  <c r="D32" i="163"/>
  <c r="F29" i="163"/>
  <c r="F32" i="163"/>
  <c r="D29" i="163"/>
  <c r="A28" i="163"/>
  <c r="A29" i="163" s="1"/>
  <c r="A30" i="163" s="1"/>
  <c r="A31" i="163" s="1"/>
  <c r="A32" i="163" s="1"/>
  <c r="A33" i="163" l="1"/>
  <c r="K23" i="2"/>
  <c r="K21" i="34"/>
  <c r="D34" i="154" l="1"/>
  <c r="C46" i="112" l="1"/>
  <c r="D34" i="112" l="1"/>
  <c r="E19" i="146" l="1"/>
  <c r="C34" i="146"/>
  <c r="C20" i="146"/>
  <c r="E33" i="161"/>
  <c r="C33" i="161"/>
  <c r="G32" i="161"/>
  <c r="G31" i="161"/>
  <c r="G30" i="161"/>
  <c r="G29" i="161"/>
  <c r="G28" i="161"/>
  <c r="E25" i="161"/>
  <c r="C25" i="161"/>
  <c r="G24" i="161"/>
  <c r="G23" i="161"/>
  <c r="G22" i="161"/>
  <c r="G21" i="161"/>
  <c r="E18" i="161"/>
  <c r="C18" i="161"/>
  <c r="G17" i="161"/>
  <c r="G16" i="161"/>
  <c r="G15" i="161"/>
  <c r="G14" i="161"/>
  <c r="G13" i="161"/>
  <c r="A13" i="161"/>
  <c r="A14" i="161" s="1"/>
  <c r="A15" i="161" s="1"/>
  <c r="A16" i="161" s="1"/>
  <c r="A17" i="161" s="1"/>
  <c r="I12" i="161"/>
  <c r="I13" i="161" s="1"/>
  <c r="I14" i="161" s="1"/>
  <c r="I15" i="161" s="1"/>
  <c r="I16" i="161" s="1"/>
  <c r="I17" i="161" s="1"/>
  <c r="I18" i="161" s="1"/>
  <c r="I19" i="161" s="1"/>
  <c r="I20" i="161" s="1"/>
  <c r="I21" i="161" s="1"/>
  <c r="I22" i="161" s="1"/>
  <c r="I23" i="161" s="1"/>
  <c r="I24" i="161" s="1"/>
  <c r="I25" i="161" s="1"/>
  <c r="I26" i="161" s="1"/>
  <c r="I27" i="161" s="1"/>
  <c r="I28" i="161" s="1"/>
  <c r="I29" i="161" s="1"/>
  <c r="I30" i="161" s="1"/>
  <c r="I31" i="161" s="1"/>
  <c r="I32" i="161" s="1"/>
  <c r="I33" i="161" s="1"/>
  <c r="G33" i="161" l="1"/>
  <c r="E16" i="75" s="1"/>
  <c r="G18" i="161"/>
  <c r="E14" i="75" s="1"/>
  <c r="G25" i="161"/>
  <c r="E15" i="75" s="1"/>
  <c r="E20" i="146"/>
  <c r="E34" i="146"/>
  <c r="H18" i="161"/>
  <c r="A18" i="161"/>
  <c r="A19" i="161" l="1"/>
  <c r="A20" i="161" s="1"/>
  <c r="A21" i="161" s="1"/>
  <c r="G14" i="75"/>
  <c r="A22" i="161"/>
  <c r="A23" i="161" s="1"/>
  <c r="A24" i="161" s="1"/>
  <c r="A25" i="161" s="1"/>
  <c r="A26" i="161" l="1"/>
  <c r="A27" i="161" s="1"/>
  <c r="A28" i="161" s="1"/>
  <c r="G15" i="75"/>
  <c r="H25" i="161"/>
  <c r="A29" i="161"/>
  <c r="A30" i="161" s="1"/>
  <c r="A31" i="161" s="1"/>
  <c r="A32" i="161" s="1"/>
  <c r="A33" i="161" s="1"/>
  <c r="G16" i="75" s="1"/>
  <c r="H33" i="161" l="1"/>
  <c r="E20" i="40" l="1"/>
  <c r="D12" i="159" l="1"/>
  <c r="G19" i="75"/>
  <c r="E21" i="41"/>
  <c r="E38" i="41"/>
  <c r="E37" i="41"/>
  <c r="E36" i="41"/>
  <c r="E20" i="41"/>
  <c r="E19" i="41"/>
  <c r="D21" i="154" l="1"/>
  <c r="D19" i="154"/>
  <c r="D15" i="154" l="1"/>
  <c r="D13" i="154"/>
  <c r="D11" i="154"/>
  <c r="C17" i="154"/>
  <c r="C23" i="154" s="1"/>
  <c r="C46" i="154" l="1"/>
  <c r="G24" i="156" s="1"/>
  <c r="C38" i="154"/>
  <c r="C36" i="154"/>
  <c r="C34" i="154"/>
  <c r="B52" i="154"/>
  <c r="B46" i="154"/>
  <c r="B44" i="154"/>
  <c r="B42" i="154"/>
  <c r="B38" i="154"/>
  <c r="B36" i="154"/>
  <c r="B34" i="154"/>
  <c r="D32" i="154"/>
  <c r="C32" i="154"/>
  <c r="C27" i="154"/>
  <c r="G26" i="156" l="1"/>
  <c r="G30" i="156"/>
  <c r="G27" i="156"/>
  <c r="G28" i="156"/>
  <c r="G29" i="156"/>
  <c r="G25" i="156"/>
  <c r="C40" i="154"/>
  <c r="B5" i="159"/>
  <c r="A13" i="159"/>
  <c r="A14" i="159" s="1"/>
  <c r="A15" i="159" s="1"/>
  <c r="A16" i="159" s="1"/>
  <c r="A17" i="159" s="1"/>
  <c r="G12" i="159"/>
  <c r="G13" i="159" s="1"/>
  <c r="G14" i="159" s="1"/>
  <c r="G15" i="159" s="1"/>
  <c r="G16" i="159" s="1"/>
  <c r="G17" i="159" s="1"/>
  <c r="C16" i="159"/>
  <c r="E28" i="156" l="1"/>
  <c r="E29" i="156"/>
  <c r="E30" i="156"/>
  <c r="E25" i="156"/>
  <c r="E26" i="156"/>
  <c r="E27" i="156"/>
  <c r="C48" i="154"/>
  <c r="C52" i="154" s="1"/>
  <c r="F16" i="159"/>
  <c r="E13" i="135" l="1"/>
  <c r="E11" i="135"/>
  <c r="B46" i="112" l="1"/>
  <c r="D32" i="112"/>
  <c r="C32" i="112"/>
  <c r="B42" i="113" l="1"/>
  <c r="B40" i="113"/>
  <c r="C17" i="158" l="1"/>
  <c r="D17" i="158"/>
  <c r="E28" i="157"/>
  <c r="E27" i="157"/>
  <c r="E26" i="157"/>
  <c r="E25" i="157"/>
  <c r="E24" i="157"/>
  <c r="E23" i="157"/>
  <c r="E22" i="157"/>
  <c r="G22" i="157" s="1"/>
  <c r="E21" i="157"/>
  <c r="E20" i="157"/>
  <c r="E19" i="157"/>
  <c r="E18" i="157"/>
  <c r="E17" i="157"/>
  <c r="B4" i="157"/>
  <c r="B4" i="158" s="1"/>
  <c r="B3" i="157"/>
  <c r="B3" i="156" l="1"/>
  <c r="B5" i="158" l="1"/>
  <c r="B5" i="157"/>
  <c r="C17" i="157" s="1"/>
  <c r="C20" i="157" s="1"/>
  <c r="D28" i="158"/>
  <c r="D24" i="158"/>
  <c r="D20" i="158"/>
  <c r="D25" i="158"/>
  <c r="C25" i="158"/>
  <c r="I12" i="158"/>
  <c r="H12" i="158"/>
  <c r="G12" i="158"/>
  <c r="F12" i="158"/>
  <c r="E12" i="158"/>
  <c r="A12" i="158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D21" i="112" s="1"/>
  <c r="J11" i="158"/>
  <c r="J12" i="158" s="1"/>
  <c r="J13" i="158" s="1"/>
  <c r="J14" i="158" s="1"/>
  <c r="J15" i="158" s="1"/>
  <c r="J16" i="158" s="1"/>
  <c r="J17" i="158" s="1"/>
  <c r="J18" i="158" s="1"/>
  <c r="J19" i="158" s="1"/>
  <c r="J20" i="158" s="1"/>
  <c r="J21" i="158" s="1"/>
  <c r="J22" i="158" s="1"/>
  <c r="J23" i="158" s="1"/>
  <c r="J24" i="158" s="1"/>
  <c r="J25" i="158" s="1"/>
  <c r="J26" i="158" s="1"/>
  <c r="J27" i="158" s="1"/>
  <c r="J28" i="158" s="1"/>
  <c r="J29" i="158" s="1"/>
  <c r="J30" i="158" s="1"/>
  <c r="H12" i="157"/>
  <c r="G12" i="157"/>
  <c r="F12" i="157"/>
  <c r="E12" i="157"/>
  <c r="A12" i="157"/>
  <c r="A13" i="157" s="1"/>
  <c r="A14" i="157" s="1"/>
  <c r="A15" i="157" s="1"/>
  <c r="A16" i="157" s="1"/>
  <c r="A17" i="157" s="1"/>
  <c r="A18" i="157" s="1"/>
  <c r="A19" i="157" s="1"/>
  <c r="A20" i="157" s="1"/>
  <c r="A21" i="157" s="1"/>
  <c r="A22" i="157" s="1"/>
  <c r="A23" i="157" s="1"/>
  <c r="A24" i="157" s="1"/>
  <c r="A25" i="157" s="1"/>
  <c r="A26" i="157" s="1"/>
  <c r="A27" i="157" s="1"/>
  <c r="A28" i="157" s="1"/>
  <c r="A29" i="157" s="1"/>
  <c r="B38" i="158" s="1"/>
  <c r="I11" i="157"/>
  <c r="I12" i="157" s="1"/>
  <c r="I13" i="157" s="1"/>
  <c r="I14" i="157" s="1"/>
  <c r="I15" i="157" s="1"/>
  <c r="I16" i="157" s="1"/>
  <c r="I17" i="157" s="1"/>
  <c r="I18" i="157" s="1"/>
  <c r="I19" i="157" s="1"/>
  <c r="I20" i="157" s="1"/>
  <c r="I21" i="157" s="1"/>
  <c r="I22" i="157" s="1"/>
  <c r="I23" i="157" s="1"/>
  <c r="I24" i="157" s="1"/>
  <c r="I25" i="157" s="1"/>
  <c r="I26" i="157" s="1"/>
  <c r="I27" i="157" s="1"/>
  <c r="I28" i="157" s="1"/>
  <c r="I29" i="157" s="1"/>
  <c r="M12" i="156"/>
  <c r="L12" i="156"/>
  <c r="K12" i="156"/>
  <c r="I12" i="156"/>
  <c r="H12" i="156"/>
  <c r="A11" i="156"/>
  <c r="A12" i="156" s="1"/>
  <c r="A13" i="156" s="1"/>
  <c r="A14" i="156" s="1"/>
  <c r="A15" i="156" s="1"/>
  <c r="A16" i="156" s="1"/>
  <c r="A17" i="156" s="1"/>
  <c r="A18" i="156" s="1"/>
  <c r="A19" i="156" s="1"/>
  <c r="A20" i="156" s="1"/>
  <c r="A21" i="156" s="1"/>
  <c r="A22" i="156" s="1"/>
  <c r="A23" i="156" s="1"/>
  <c r="A24" i="156" s="1"/>
  <c r="A25" i="156" s="1"/>
  <c r="A26" i="156" s="1"/>
  <c r="A27" i="156" s="1"/>
  <c r="A28" i="156" s="1"/>
  <c r="A29" i="156" s="1"/>
  <c r="A30" i="156" s="1"/>
  <c r="D19" i="112" s="1"/>
  <c r="N11" i="156"/>
  <c r="N12" i="156" s="1"/>
  <c r="N13" i="156" s="1"/>
  <c r="N14" i="156" s="1"/>
  <c r="N15" i="156" s="1"/>
  <c r="N16" i="156" s="1"/>
  <c r="N17" i="156" s="1"/>
  <c r="N18" i="156" s="1"/>
  <c r="N19" i="156" s="1"/>
  <c r="N20" i="156" s="1"/>
  <c r="N21" i="156" s="1"/>
  <c r="N22" i="156" s="1"/>
  <c r="N23" i="156" s="1"/>
  <c r="N24" i="156" s="1"/>
  <c r="N25" i="156" s="1"/>
  <c r="N26" i="156" s="1"/>
  <c r="N27" i="156" s="1"/>
  <c r="N28" i="156" s="1"/>
  <c r="N29" i="156" s="1"/>
  <c r="N30" i="156" s="1"/>
  <c r="N31" i="156" s="1"/>
  <c r="C19" i="156"/>
  <c r="A31" i="156" l="1"/>
  <c r="F12" i="156" s="1"/>
  <c r="C19" i="158"/>
  <c r="C23" i="158"/>
  <c r="C27" i="158"/>
  <c r="C18" i="158"/>
  <c r="C20" i="158"/>
  <c r="C22" i="158"/>
  <c r="C24" i="158"/>
  <c r="C26" i="158"/>
  <c r="C28" i="158"/>
  <c r="D19" i="158"/>
  <c r="C21" i="158"/>
  <c r="D23" i="158"/>
  <c r="D27" i="158"/>
  <c r="C18" i="157"/>
  <c r="C22" i="157"/>
  <c r="C24" i="157"/>
  <c r="C26" i="157"/>
  <c r="C28" i="157"/>
  <c r="C19" i="157"/>
  <c r="C21" i="157"/>
  <c r="C23" i="157"/>
  <c r="C25" i="157"/>
  <c r="C27" i="157"/>
  <c r="D18" i="158"/>
  <c r="D22" i="158"/>
  <c r="D26" i="158"/>
  <c r="D21" i="158"/>
  <c r="C27" i="156"/>
  <c r="C26" i="156"/>
  <c r="C23" i="156"/>
  <c r="C25" i="156"/>
  <c r="C24" i="156"/>
  <c r="C29" i="156"/>
  <c r="C28" i="156"/>
  <c r="C21" i="156"/>
  <c r="C20" i="156"/>
  <c r="C30" i="156"/>
  <c r="C22" i="156"/>
  <c r="H22" i="157" l="1"/>
  <c r="F23" i="157" l="1"/>
  <c r="G23" i="157" l="1"/>
  <c r="H23" i="157"/>
  <c r="F24" i="157"/>
  <c r="G24" i="157" l="1"/>
  <c r="H24" i="157" s="1"/>
  <c r="F25" i="157" l="1"/>
  <c r="G25" i="157" l="1"/>
  <c r="H25" i="157" l="1"/>
  <c r="F26" i="157" s="1"/>
  <c r="G26" i="157" l="1"/>
  <c r="H26" i="157" l="1"/>
  <c r="F27" i="157" s="1"/>
  <c r="G27" i="157" s="1"/>
  <c r="H27" i="157" l="1"/>
  <c r="F28" i="157" l="1"/>
  <c r="G28" i="157" l="1"/>
  <c r="G29" i="157" l="1"/>
  <c r="H29" i="158" s="1"/>
  <c r="H28" i="157"/>
  <c r="E17" i="158" s="1"/>
  <c r="F28" i="158" s="1"/>
  <c r="F27" i="158" l="1"/>
  <c r="F22" i="158"/>
  <c r="F23" i="158"/>
  <c r="H17" i="158"/>
  <c r="F26" i="158"/>
  <c r="F25" i="158"/>
  <c r="F18" i="158"/>
  <c r="F21" i="158"/>
  <c r="F19" i="158"/>
  <c r="F24" i="158"/>
  <c r="F17" i="158"/>
  <c r="F20" i="158"/>
  <c r="G17" i="158" l="1"/>
  <c r="I17" i="158" s="1"/>
  <c r="E18" i="158" s="1"/>
  <c r="H18" i="158" s="1"/>
  <c r="G18" i="158" l="1"/>
  <c r="I18" i="158" s="1"/>
  <c r="E19" i="158" s="1"/>
  <c r="H19" i="158" l="1"/>
  <c r="G19" i="158" l="1"/>
  <c r="I19" i="158" s="1"/>
  <c r="E20" i="158" s="1"/>
  <c r="H20" i="158" l="1"/>
  <c r="G20" i="158" l="1"/>
  <c r="I20" i="158" s="1"/>
  <c r="E21" i="158" s="1"/>
  <c r="H21" i="158" l="1"/>
  <c r="G21" i="158" s="1"/>
  <c r="I21" i="158" s="1"/>
  <c r="E22" i="158" s="1"/>
  <c r="H22" i="158" l="1"/>
  <c r="G22" i="158" s="1"/>
  <c r="I22" i="158" s="1"/>
  <c r="E23" i="158" s="1"/>
  <c r="H23" i="158" l="1"/>
  <c r="G23" i="158" s="1"/>
  <c r="I23" i="158" s="1"/>
  <c r="E24" i="158" s="1"/>
  <c r="H24" i="158" l="1"/>
  <c r="G24" i="158" s="1"/>
  <c r="I24" i="158" s="1"/>
  <c r="E25" i="158" s="1"/>
  <c r="H25" i="158" l="1"/>
  <c r="G25" i="158" s="1"/>
  <c r="I25" i="158" s="1"/>
  <c r="E26" i="158" s="1"/>
  <c r="H26" i="158" l="1"/>
  <c r="G26" i="158" s="1"/>
  <c r="I26" i="158" s="1"/>
  <c r="E27" i="158" s="1"/>
  <c r="H27" i="158" l="1"/>
  <c r="G27" i="158" s="1"/>
  <c r="I27" i="158" s="1"/>
  <c r="E28" i="158" s="1"/>
  <c r="H28" i="158" l="1"/>
  <c r="H30" i="158" s="1"/>
  <c r="C21" i="112" s="1"/>
  <c r="G28" i="158" l="1"/>
  <c r="I28" i="158" s="1"/>
  <c r="C44" i="112" l="1"/>
  <c r="E26" i="136"/>
  <c r="E25" i="136"/>
  <c r="E24" i="136"/>
  <c r="E23" i="136"/>
  <c r="E22" i="136"/>
  <c r="E21" i="136"/>
  <c r="E20" i="136"/>
  <c r="E19" i="136"/>
  <c r="E18" i="136"/>
  <c r="E17" i="136"/>
  <c r="E16" i="136"/>
  <c r="E15" i="136"/>
  <c r="E14" i="136"/>
  <c r="A12" i="154" l="1"/>
  <c r="A13" i="154" s="1"/>
  <c r="D36" i="154" s="1"/>
  <c r="E11" i="154"/>
  <c r="E12" i="154" s="1"/>
  <c r="E13" i="154" s="1"/>
  <c r="E14" i="154" s="1"/>
  <c r="E15" i="154" s="1"/>
  <c r="E16" i="154" s="1"/>
  <c r="E17" i="154" l="1"/>
  <c r="E18" i="154" s="1"/>
  <c r="E19" i="154" s="1"/>
  <c r="E20" i="154" s="1"/>
  <c r="E21" i="154" s="1"/>
  <c r="E22" i="154" s="1"/>
  <c r="E23" i="154" s="1"/>
  <c r="E24" i="154" s="1"/>
  <c r="E25" i="154" s="1"/>
  <c r="E26" i="154" s="1"/>
  <c r="E27" i="154" s="1"/>
  <c r="E28" i="154" s="1"/>
  <c r="E33" i="154" s="1"/>
  <c r="E34" i="154" s="1"/>
  <c r="E35" i="154" s="1"/>
  <c r="E36" i="154" s="1"/>
  <c r="E37" i="154" s="1"/>
  <c r="E38" i="154" s="1"/>
  <c r="E39" i="154" s="1"/>
  <c r="E40" i="154" s="1"/>
  <c r="E41" i="154" s="1"/>
  <c r="E42" i="154" s="1"/>
  <c r="E43" i="154" s="1"/>
  <c r="E44" i="154" s="1"/>
  <c r="E45" i="154" s="1"/>
  <c r="E46" i="154" s="1"/>
  <c r="E47" i="154" s="1"/>
  <c r="E48" i="154" s="1"/>
  <c r="E49" i="154" s="1"/>
  <c r="E50" i="154" s="1"/>
  <c r="E51" i="154" s="1"/>
  <c r="E52" i="154" s="1"/>
  <c r="E53" i="154" s="1"/>
  <c r="A14" i="154"/>
  <c r="A15" i="154" s="1"/>
  <c r="D38" i="154" s="1"/>
  <c r="D17" i="154" l="1"/>
  <c r="A16" i="154"/>
  <c r="B3" i="85"/>
  <c r="A17" i="154" l="1"/>
  <c r="A18" i="154" l="1"/>
  <c r="A19" i="154" s="1"/>
  <c r="D42" i="154" s="1"/>
  <c r="B2" i="135"/>
  <c r="K15" i="10"/>
  <c r="M15" i="10"/>
  <c r="M16" i="10" s="1"/>
  <c r="M17" i="10" s="1"/>
  <c r="M18" i="10" s="1"/>
  <c r="M19" i="10" s="1"/>
  <c r="M20" i="10" s="1"/>
  <c r="M21" i="10" s="1"/>
  <c r="M22" i="10" s="1"/>
  <c r="M23" i="10" s="1"/>
  <c r="M24" i="10" s="1"/>
  <c r="M25" i="10" s="1"/>
  <c r="M26" i="10" s="1"/>
  <c r="M27" i="10" s="1"/>
  <c r="M28" i="10" s="1"/>
  <c r="M29" i="10" s="1"/>
  <c r="M30" i="10" s="1"/>
  <c r="M31" i="10" s="1"/>
  <c r="M32" i="10" s="1"/>
  <c r="M33" i="10" s="1"/>
  <c r="M34" i="10" s="1"/>
  <c r="M35" i="10" s="1"/>
  <c r="K16" i="10"/>
  <c r="K17" i="10"/>
  <c r="K18" i="10"/>
  <c r="K19" i="10"/>
  <c r="D21" i="10"/>
  <c r="E21" i="10"/>
  <c r="F21" i="10"/>
  <c r="G21" i="10"/>
  <c r="H21" i="10"/>
  <c r="I21" i="10"/>
  <c r="J21" i="10"/>
  <c r="K23" i="10"/>
  <c r="K24" i="10"/>
  <c r="K25" i="10"/>
  <c r="K26" i="10"/>
  <c r="K27" i="10"/>
  <c r="K28" i="10"/>
  <c r="K29" i="10"/>
  <c r="K30" i="10"/>
  <c r="K31" i="10"/>
  <c r="D33" i="10"/>
  <c r="E33" i="10"/>
  <c r="F33" i="10"/>
  <c r="F35" i="10" s="1"/>
  <c r="G33" i="10"/>
  <c r="H33" i="10"/>
  <c r="I33" i="10"/>
  <c r="J33" i="10"/>
  <c r="J35" i="10" s="1"/>
  <c r="G35" i="10" l="1"/>
  <c r="H35" i="10"/>
  <c r="D35" i="10"/>
  <c r="K33" i="10"/>
  <c r="I35" i="10"/>
  <c r="E35" i="10"/>
  <c r="K21" i="10"/>
  <c r="A20" i="154"/>
  <c r="A21" i="154" s="1"/>
  <c r="D44" i="154" s="1"/>
  <c r="K35" i="10" l="1"/>
  <c r="A22" i="154"/>
  <c r="A23" i="154" s="1"/>
  <c r="D23" i="154"/>
  <c r="B3" i="114"/>
  <c r="B3" i="113"/>
  <c r="B3" i="111"/>
  <c r="A24" i="154" l="1"/>
  <c r="A25" i="154" s="1"/>
  <c r="B39" i="113"/>
  <c r="D27" i="154" l="1"/>
  <c r="D46" i="154"/>
  <c r="A26" i="154"/>
  <c r="A27" i="154" s="1"/>
  <c r="A28" i="154" s="1"/>
  <c r="A33" i="154" s="1"/>
  <c r="A34" i="154" s="1"/>
  <c r="A35" i="154" l="1"/>
  <c r="A36" i="154" s="1"/>
  <c r="A37" i="154" s="1"/>
  <c r="A38" i="154" s="1"/>
  <c r="A39" i="154" s="1"/>
  <c r="A40" i="154" s="1"/>
  <c r="D54" i="153"/>
  <c r="D53" i="153"/>
  <c r="D52" i="153"/>
  <c r="D51" i="153"/>
  <c r="D50" i="153"/>
  <c r="D49" i="153"/>
  <c r="D48" i="153"/>
  <c r="D47" i="153"/>
  <c r="D46" i="153"/>
  <c r="D45" i="153"/>
  <c r="D44" i="153"/>
  <c r="D43" i="153"/>
  <c r="D42" i="153"/>
  <c r="D41" i="153"/>
  <c r="D40" i="153"/>
  <c r="D39" i="153"/>
  <c r="D38" i="153"/>
  <c r="D37" i="153"/>
  <c r="D36" i="153"/>
  <c r="D35" i="153"/>
  <c r="D34" i="153"/>
  <c r="D33" i="153"/>
  <c r="D32" i="153"/>
  <c r="D31" i="153"/>
  <c r="D30" i="153"/>
  <c r="D29" i="153"/>
  <c r="D28" i="153"/>
  <c r="D27" i="153"/>
  <c r="D26" i="153"/>
  <c r="D25" i="153"/>
  <c r="D24" i="153"/>
  <c r="D23" i="153"/>
  <c r="D22" i="153"/>
  <c r="D21" i="153"/>
  <c r="D20" i="153"/>
  <c r="D19" i="153"/>
  <c r="D18" i="153"/>
  <c r="D17" i="153"/>
  <c r="D16" i="153"/>
  <c r="D15" i="153"/>
  <c r="D14" i="153"/>
  <c r="D13" i="153"/>
  <c r="D12" i="153"/>
  <c r="D11" i="153"/>
  <c r="D10" i="153"/>
  <c r="D40" i="154" l="1"/>
  <c r="A41" i="154"/>
  <c r="A42" i="154" s="1"/>
  <c r="A43" i="154" s="1"/>
  <c r="A44" i="154" s="1"/>
  <c r="A45" i="154" s="1"/>
  <c r="A46" i="154" s="1"/>
  <c r="A47" i="154" s="1"/>
  <c r="A48" i="154" s="1"/>
  <c r="A49" i="154" s="1"/>
  <c r="A50" i="154" s="1"/>
  <c r="A51" i="154" s="1"/>
  <c r="A52" i="154" s="1"/>
  <c r="A53" i="154" s="1"/>
  <c r="D52" i="154" l="1"/>
  <c r="D48" i="154"/>
  <c r="I11" i="34" l="1"/>
  <c r="E17" i="34"/>
  <c r="D16" i="26"/>
  <c r="D16" i="25"/>
  <c r="F26" i="23"/>
  <c r="E20" i="8" l="1"/>
  <c r="E25" i="150" l="1"/>
  <c r="E24" i="150"/>
  <c r="D9" i="153" l="1"/>
  <c r="C73" i="41" l="1"/>
  <c r="B52" i="112" l="1"/>
  <c r="E25" i="40" l="1"/>
  <c r="B4" i="41"/>
  <c r="B5" i="150"/>
  <c r="B4" i="42"/>
  <c r="E24" i="40" l="1"/>
  <c r="E17" i="75" l="1"/>
  <c r="B5" i="10" l="1"/>
  <c r="E14" i="59" l="1"/>
  <c r="E13" i="59"/>
  <c r="G18" i="27"/>
  <c r="G17" i="27"/>
  <c r="G14" i="27"/>
  <c r="G13" i="27"/>
  <c r="L11" i="34" l="1"/>
  <c r="L12" i="34" s="1"/>
  <c r="L13" i="34" s="1"/>
  <c r="L14" i="34" s="1"/>
  <c r="L15" i="34" s="1"/>
  <c r="L16" i="34" s="1"/>
  <c r="L17" i="34" s="1"/>
  <c r="L18" i="34" s="1"/>
  <c r="L19" i="34" s="1"/>
  <c r="L20" i="34" s="1"/>
  <c r="L21" i="34" s="1"/>
  <c r="L22" i="34" s="1"/>
  <c r="L23" i="34" s="1"/>
  <c r="A12" i="34"/>
  <c r="A13" i="34" s="1"/>
  <c r="A14" i="34" s="1"/>
  <c r="A15" i="34" s="1"/>
  <c r="E18" i="14"/>
  <c r="E17" i="14"/>
  <c r="E14" i="14"/>
  <c r="E13" i="14"/>
  <c r="B5" i="85"/>
  <c r="B6" i="84"/>
  <c r="A16" i="34" l="1"/>
  <c r="A17" i="34" s="1"/>
  <c r="A18" i="34" s="1"/>
  <c r="A19" i="34" s="1"/>
  <c r="A20" i="34" s="1"/>
  <c r="A21" i="34" s="1"/>
  <c r="A22" i="34" s="1"/>
  <c r="A23" i="34" s="1"/>
  <c r="K17" i="34"/>
  <c r="B5" i="71"/>
  <c r="B5" i="70"/>
  <c r="B4" i="153"/>
  <c r="B4" i="135"/>
  <c r="B3" i="153"/>
  <c r="A14" i="84" l="1"/>
  <c r="E16" i="111" l="1"/>
  <c r="C34" i="114" l="1"/>
  <c r="G13" i="66" l="1"/>
  <c r="E9" i="153" l="1"/>
  <c r="E10" i="153" l="1"/>
  <c r="E11" i="153" s="1"/>
  <c r="E12" i="153" s="1"/>
  <c r="E13" i="153" s="1"/>
  <c r="E14" i="153" s="1"/>
  <c r="E15" i="153" s="1"/>
  <c r="E16" i="153" s="1"/>
  <c r="E17" i="153" s="1"/>
  <c r="E18" i="153" s="1"/>
  <c r="E19" i="153" s="1"/>
  <c r="E20" i="153" s="1"/>
  <c r="E21" i="153" s="1"/>
  <c r="E22" i="153" s="1"/>
  <c r="E23" i="153" s="1"/>
  <c r="E24" i="153" s="1"/>
  <c r="E25" i="153" s="1"/>
  <c r="E26" i="153" s="1"/>
  <c r="E27" i="153" s="1"/>
  <c r="E28" i="153" s="1"/>
  <c r="E29" i="153" s="1"/>
  <c r="E30" i="153" s="1"/>
  <c r="E31" i="153" s="1"/>
  <c r="E32" i="153" s="1"/>
  <c r="E33" i="153" s="1"/>
  <c r="E34" i="153" s="1"/>
  <c r="E35" i="153" s="1"/>
  <c r="E36" i="153" s="1"/>
  <c r="E37" i="153" s="1"/>
  <c r="E38" i="153" s="1"/>
  <c r="E39" i="153" s="1"/>
  <c r="E40" i="153" s="1"/>
  <c r="E41" i="153" s="1"/>
  <c r="E42" i="153" s="1"/>
  <c r="E43" i="153" s="1"/>
  <c r="E44" i="153" s="1"/>
  <c r="E45" i="153" s="1"/>
  <c r="E46" i="153" s="1"/>
  <c r="E47" i="153" s="1"/>
  <c r="E48" i="153" s="1"/>
  <c r="E49" i="153" s="1"/>
  <c r="E50" i="153" s="1"/>
  <c r="E51" i="153" s="1"/>
  <c r="E52" i="153" s="1"/>
  <c r="E53" i="153" s="1"/>
  <c r="E54" i="153" s="1"/>
  <c r="E55" i="153" s="1"/>
  <c r="E56" i="153" s="1"/>
  <c r="E57" i="153" s="1"/>
  <c r="A10" i="153"/>
  <c r="A11" i="153" s="1"/>
  <c r="A12" i="153" s="1"/>
  <c r="A13" i="153" s="1"/>
  <c r="A14" i="153" s="1"/>
  <c r="A15" i="153" s="1"/>
  <c r="A16" i="153" s="1"/>
  <c r="A17" i="153" s="1"/>
  <c r="A18" i="153" s="1"/>
  <c r="A19" i="153" s="1"/>
  <c r="A20" i="153" s="1"/>
  <c r="A21" i="153" s="1"/>
  <c r="A22" i="153" s="1"/>
  <c r="A23" i="153" s="1"/>
  <c r="A24" i="153" s="1"/>
  <c r="A25" i="153" s="1"/>
  <c r="A26" i="153" s="1"/>
  <c r="A27" i="153" s="1"/>
  <c r="A28" i="153" s="1"/>
  <c r="A29" i="153" s="1"/>
  <c r="A30" i="153" s="1"/>
  <c r="A31" i="153" s="1"/>
  <c r="A32" i="153" s="1"/>
  <c r="A33" i="153" s="1"/>
  <c r="A34" i="153" s="1"/>
  <c r="A35" i="153" s="1"/>
  <c r="A36" i="153" s="1"/>
  <c r="A37" i="153" s="1"/>
  <c r="A38" i="153" s="1"/>
  <c r="A39" i="153" s="1"/>
  <c r="A40" i="153" s="1"/>
  <c r="A41" i="153" s="1"/>
  <c r="A42" i="153" s="1"/>
  <c r="A43" i="153" s="1"/>
  <c r="A44" i="153" s="1"/>
  <c r="A45" i="153" s="1"/>
  <c r="A46" i="153" s="1"/>
  <c r="A47" i="153" s="1"/>
  <c r="A48" i="153" s="1"/>
  <c r="A49" i="153" s="1"/>
  <c r="A50" i="153" s="1"/>
  <c r="A51" i="153" s="1"/>
  <c r="A52" i="153" s="1"/>
  <c r="A53" i="153" s="1"/>
  <c r="A54" i="153" s="1"/>
  <c r="A55" i="153" s="1"/>
  <c r="A56" i="153" s="1"/>
  <c r="A57" i="153" s="1"/>
  <c r="G12" i="40" l="1"/>
  <c r="D56" i="153"/>
  <c r="E12" i="40" s="1"/>
  <c r="E15" i="66" l="1"/>
  <c r="E19" i="66" s="1"/>
  <c r="B5" i="111" l="1"/>
  <c r="B6" i="24"/>
  <c r="B6" i="152"/>
  <c r="B5" i="11"/>
  <c r="E68" i="146"/>
  <c r="F11" i="146"/>
  <c r="F12" i="146" s="1"/>
  <c r="F13" i="146" s="1"/>
  <c r="F14" i="146" s="1"/>
  <c r="G83" i="113" s="1"/>
  <c r="A12" i="146"/>
  <c r="A13" i="146" s="1"/>
  <c r="A14" i="146" s="1"/>
  <c r="A15" i="146" s="1"/>
  <c r="E25" i="146"/>
  <c r="E24" i="146"/>
  <c r="C13" i="27"/>
  <c r="B4" i="162" l="1"/>
  <c r="B4" i="146"/>
  <c r="F15" i="146"/>
  <c r="G85" i="113" s="1"/>
  <c r="E16" i="146"/>
  <c r="A16" i="146"/>
  <c r="G47" i="113" s="1"/>
  <c r="B5" i="34"/>
  <c r="B13" i="59"/>
  <c r="D17" i="27"/>
  <c r="B5" i="59"/>
  <c r="A14" i="59"/>
  <c r="A15" i="59" s="1"/>
  <c r="G17" i="46" s="1"/>
  <c r="F13" i="59"/>
  <c r="F14" i="59" s="1"/>
  <c r="F15" i="59" s="1"/>
  <c r="F16" i="59" s="1"/>
  <c r="D13" i="27"/>
  <c r="C17" i="27"/>
  <c r="D5" i="27"/>
  <c r="A14" i="27"/>
  <c r="G15" i="27" s="1"/>
  <c r="H13" i="27"/>
  <c r="H14" i="27" s="1"/>
  <c r="H15" i="27" s="1"/>
  <c r="H16" i="27" s="1"/>
  <c r="H17" i="27" s="1"/>
  <c r="H18" i="27" s="1"/>
  <c r="H19" i="27" s="1"/>
  <c r="H20" i="27" s="1"/>
  <c r="H21" i="27" s="1"/>
  <c r="H22" i="27" s="1"/>
  <c r="H23" i="27" s="1"/>
  <c r="B17" i="14"/>
  <c r="B13" i="14"/>
  <c r="B5" i="14"/>
  <c r="A14" i="14"/>
  <c r="E15" i="14" s="1"/>
  <c r="F13" i="14"/>
  <c r="F14" i="14" s="1"/>
  <c r="F15" i="14" s="1"/>
  <c r="F16" i="14" s="1"/>
  <c r="F17" i="14" s="1"/>
  <c r="F18" i="14" s="1"/>
  <c r="F19" i="14" s="1"/>
  <c r="F20" i="14" s="1"/>
  <c r="F21" i="14" s="1"/>
  <c r="F22" i="14" s="1"/>
  <c r="F23" i="14" s="1"/>
  <c r="F16" i="146" l="1"/>
  <c r="F17" i="146" s="1"/>
  <c r="F18" i="146" s="1"/>
  <c r="F19" i="146" s="1"/>
  <c r="F20" i="146" s="1"/>
  <c r="F21" i="146" s="1"/>
  <c r="F22" i="146" s="1"/>
  <c r="F23" i="146" s="1"/>
  <c r="F24" i="146" s="1"/>
  <c r="F25" i="146" s="1"/>
  <c r="F26" i="146" s="1"/>
  <c r="F27" i="146" s="1"/>
  <c r="F28" i="146" s="1"/>
  <c r="F29" i="146" s="1"/>
  <c r="F30" i="146" s="1"/>
  <c r="F31" i="146" s="1"/>
  <c r="F32" i="146" s="1"/>
  <c r="F33" i="146" s="1"/>
  <c r="F34" i="146" s="1"/>
  <c r="F35" i="146" s="1"/>
  <c r="F36" i="146" s="1"/>
  <c r="F37" i="146" s="1"/>
  <c r="F38" i="146" s="1"/>
  <c r="F39" i="146" s="1"/>
  <c r="F40" i="146" s="1"/>
  <c r="F41" i="146" s="1"/>
  <c r="F42" i="146" s="1"/>
  <c r="F43" i="146" s="1"/>
  <c r="F44" i="146" s="1"/>
  <c r="F45" i="146" s="1"/>
  <c r="F46" i="146" s="1"/>
  <c r="F47" i="146" s="1"/>
  <c r="F48" i="146" s="1"/>
  <c r="A15" i="27"/>
  <c r="E15" i="59"/>
  <c r="A17" i="146"/>
  <c r="A18" i="146" s="1"/>
  <c r="A19" i="146" s="1"/>
  <c r="A16" i="59"/>
  <c r="D15" i="59"/>
  <c r="E17" i="46" s="1"/>
  <c r="F19" i="27"/>
  <c r="G17" i="22" s="1"/>
  <c r="F15" i="27"/>
  <c r="E17" i="22" s="1"/>
  <c r="A16" i="27"/>
  <c r="A17" i="27" s="1"/>
  <c r="D19" i="14"/>
  <c r="G29" i="2" s="1"/>
  <c r="A15" i="14"/>
  <c r="A20" i="146" l="1"/>
  <c r="A21" i="146" s="1"/>
  <c r="D22" i="14"/>
  <c r="E29" i="2"/>
  <c r="F22" i="27"/>
  <c r="A18" i="27"/>
  <c r="A19" i="27" s="1"/>
  <c r="G22" i="27" s="1"/>
  <c r="A16" i="14"/>
  <c r="A17" i="14" s="1"/>
  <c r="A22" i="146" l="1"/>
  <c r="A23" i="146" s="1"/>
  <c r="A24" i="146" s="1"/>
  <c r="E21" i="146"/>
  <c r="G19" i="27"/>
  <c r="A20" i="27"/>
  <c r="A21" i="27" s="1"/>
  <c r="A22" i="27" s="1"/>
  <c r="A18" i="14"/>
  <c r="A19" i="14" s="1"/>
  <c r="E19" i="14"/>
  <c r="A23" i="27" l="1"/>
  <c r="K17" i="22"/>
  <c r="A25" i="146"/>
  <c r="A26" i="146" s="1"/>
  <c r="A20" i="14"/>
  <c r="A21" i="14" s="1"/>
  <c r="A22" i="14" s="1"/>
  <c r="E22" i="14"/>
  <c r="E26" i="146" l="1"/>
  <c r="A23" i="14"/>
  <c r="K29" i="2"/>
  <c r="A27" i="146"/>
  <c r="A28" i="146" s="1"/>
  <c r="A29" i="146" s="1"/>
  <c r="A30" i="146" l="1"/>
  <c r="A31" i="146" s="1"/>
  <c r="A32" i="146" s="1"/>
  <c r="K17" i="152"/>
  <c r="F34" i="152"/>
  <c r="K32" i="152"/>
  <c r="K31" i="152"/>
  <c r="K30" i="152"/>
  <c r="K29" i="152"/>
  <c r="K28" i="152"/>
  <c r="K27" i="152"/>
  <c r="K26" i="152"/>
  <c r="K25" i="152"/>
  <c r="D34" i="152"/>
  <c r="J34" i="152"/>
  <c r="I34" i="152"/>
  <c r="H34" i="152"/>
  <c r="K24" i="152"/>
  <c r="E34" i="152"/>
  <c r="K20" i="152"/>
  <c r="K19" i="152"/>
  <c r="K18" i="152"/>
  <c r="A17" i="152"/>
  <c r="A18" i="152" s="1"/>
  <c r="A19" i="152" s="1"/>
  <c r="A20" i="152" s="1"/>
  <c r="M16" i="152"/>
  <c r="M17" i="152" s="1"/>
  <c r="M18" i="152" s="1"/>
  <c r="M19" i="152" s="1"/>
  <c r="M20" i="152" s="1"/>
  <c r="M21" i="152" s="1"/>
  <c r="M22" i="152" s="1"/>
  <c r="M23" i="152" s="1"/>
  <c r="M24" i="152" s="1"/>
  <c r="M25" i="152" s="1"/>
  <c r="M26" i="152" s="1"/>
  <c r="M27" i="152" s="1"/>
  <c r="M28" i="152" s="1"/>
  <c r="M29" i="152" s="1"/>
  <c r="M30" i="152" s="1"/>
  <c r="M31" i="152" s="1"/>
  <c r="M32" i="152" s="1"/>
  <c r="M33" i="152" s="1"/>
  <c r="M34" i="152" s="1"/>
  <c r="M35" i="152" s="1"/>
  <c r="M36" i="152" s="1"/>
  <c r="J22" i="152"/>
  <c r="I22" i="152"/>
  <c r="H22" i="152"/>
  <c r="G22" i="152"/>
  <c r="F22" i="152"/>
  <c r="E22" i="152"/>
  <c r="E32" i="146" l="1"/>
  <c r="A33" i="146"/>
  <c r="A34" i="146" s="1"/>
  <c r="A35" i="146" s="1"/>
  <c r="A36" i="146" s="1"/>
  <c r="I88" i="82" s="1"/>
  <c r="F36" i="152"/>
  <c r="H36" i="152"/>
  <c r="D22" i="152"/>
  <c r="D36" i="152" s="1"/>
  <c r="I36" i="152"/>
  <c r="E36" i="152"/>
  <c r="J36" i="152"/>
  <c r="A21" i="152"/>
  <c r="A22" i="152" s="1"/>
  <c r="L22" i="152"/>
  <c r="K34" i="152"/>
  <c r="K16" i="152"/>
  <c r="K22" i="152" s="1"/>
  <c r="G34" i="152"/>
  <c r="G36" i="152" s="1"/>
  <c r="A37" i="146" l="1"/>
  <c r="A38" i="146" s="1"/>
  <c r="A39" i="146" s="1"/>
  <c r="E36" i="146"/>
  <c r="A23" i="152"/>
  <c r="A24" i="152" s="1"/>
  <c r="K36" i="152"/>
  <c r="A40" i="146" l="1"/>
  <c r="A41" i="146" s="1"/>
  <c r="A42" i="146" s="1"/>
  <c r="A43" i="146" s="1"/>
  <c r="A44" i="146" s="1"/>
  <c r="A25" i="152"/>
  <c r="A26" i="152" s="1"/>
  <c r="A27" i="152" s="1"/>
  <c r="A28" i="152" s="1"/>
  <c r="A29" i="152" s="1"/>
  <c r="A30" i="152" s="1"/>
  <c r="A31" i="152" s="1"/>
  <c r="A32" i="152" s="1"/>
  <c r="A33" i="152" s="1"/>
  <c r="A34" i="152" s="1"/>
  <c r="E41" i="146" l="1"/>
  <c r="A45" i="146"/>
  <c r="A46" i="146" s="1"/>
  <c r="A47" i="146" s="1"/>
  <c r="A48" i="146" s="1"/>
  <c r="E75" i="146"/>
  <c r="L34" i="152"/>
  <c r="A35" i="152"/>
  <c r="A36" i="152" s="1"/>
  <c r="L36" i="152"/>
  <c r="E46" i="146" l="1"/>
  <c r="B53" i="146"/>
  <c r="B5" i="82"/>
  <c r="B119" i="82" s="1"/>
  <c r="B5" i="75"/>
  <c r="B5" i="69"/>
  <c r="B5" i="66"/>
  <c r="B5" i="46"/>
  <c r="B5" i="45"/>
  <c r="B5" i="40"/>
  <c r="B5" i="38"/>
  <c r="B5" i="22"/>
  <c r="B5" i="2"/>
  <c r="B5" i="114"/>
  <c r="E65" i="146" l="1"/>
  <c r="F10" i="150" l="1"/>
  <c r="E76" i="146" l="1"/>
  <c r="E77" i="146" l="1"/>
  <c r="J12" i="114"/>
  <c r="J13" i="114" s="1"/>
  <c r="J14" i="114" s="1"/>
  <c r="J15" i="114" s="1"/>
  <c r="J16" i="114" s="1"/>
  <c r="J17" i="114" s="1"/>
  <c r="J18" i="114" s="1"/>
  <c r="J19" i="114" s="1"/>
  <c r="J20" i="114" s="1"/>
  <c r="J21" i="114" s="1"/>
  <c r="J22" i="114" s="1"/>
  <c r="J23" i="114" s="1"/>
  <c r="J24" i="114" s="1"/>
  <c r="J25" i="114" s="1"/>
  <c r="J26" i="114" s="1"/>
  <c r="J27" i="114" s="1"/>
  <c r="J28" i="114" s="1"/>
  <c r="J29" i="114" s="1"/>
  <c r="J30" i="114" s="1"/>
  <c r="J31" i="114" s="1"/>
  <c r="J32" i="114" s="1"/>
  <c r="J33" i="114" s="1"/>
  <c r="J34" i="114" s="1"/>
  <c r="J35" i="114" s="1"/>
  <c r="J36" i="114" s="1"/>
  <c r="J37" i="114" s="1"/>
  <c r="J38" i="114" s="1"/>
  <c r="J39" i="114" s="1"/>
  <c r="J40" i="114" s="1"/>
  <c r="J41" i="114" s="1"/>
  <c r="J42" i="114" s="1"/>
  <c r="A13" i="114"/>
  <c r="A14" i="114" s="1"/>
  <c r="E78" i="146" l="1"/>
  <c r="E72" i="146"/>
  <c r="A15" i="114"/>
  <c r="A16" i="114" s="1"/>
  <c r="A17" i="114" s="1"/>
  <c r="A18" i="114" s="1"/>
  <c r="I18" i="114" l="1"/>
  <c r="E12" i="146"/>
  <c r="A19" i="114"/>
  <c r="A20" i="114" s="1"/>
  <c r="A21" i="114" s="1"/>
  <c r="A22" i="114" s="1"/>
  <c r="A23" i="114" s="1"/>
  <c r="A24" i="114" s="1"/>
  <c r="A25" i="114" s="1"/>
  <c r="E13" i="146" l="1"/>
  <c r="A26" i="114"/>
  <c r="A27" i="114" s="1"/>
  <c r="A28" i="114" s="1"/>
  <c r="A29" i="114" s="1"/>
  <c r="A30" i="114" s="1"/>
  <c r="A31" i="114" s="1"/>
  <c r="A32" i="114" s="1"/>
  <c r="A33" i="114" s="1"/>
  <c r="A34" i="114" s="1"/>
  <c r="A35" i="114" s="1"/>
  <c r="A36" i="114" s="1"/>
  <c r="H47" i="113"/>
  <c r="H48" i="113" s="1"/>
  <c r="H49" i="113" s="1"/>
  <c r="H50" i="113" s="1"/>
  <c r="H51" i="113" s="1"/>
  <c r="H52" i="113" s="1"/>
  <c r="H53" i="113" s="1"/>
  <c r="H54" i="113" s="1"/>
  <c r="H55" i="113" s="1"/>
  <c r="H56" i="113" s="1"/>
  <c r="H57" i="113" s="1"/>
  <c r="H58" i="113" s="1"/>
  <c r="H59" i="113" s="1"/>
  <c r="H60" i="113" s="1"/>
  <c r="H61" i="113" s="1"/>
  <c r="H62" i="113" s="1"/>
  <c r="H63" i="113" s="1"/>
  <c r="H64" i="113" s="1"/>
  <c r="H65" i="113" s="1"/>
  <c r="H66" i="113" s="1"/>
  <c r="H67" i="113" s="1"/>
  <c r="H68" i="113" s="1"/>
  <c r="H69" i="113" s="1"/>
  <c r="H70" i="113" s="1"/>
  <c r="H71" i="113" s="1"/>
  <c r="H72" i="113" s="1"/>
  <c r="H73" i="113" s="1"/>
  <c r="H74" i="113" s="1"/>
  <c r="H75" i="113" s="1"/>
  <c r="H76" i="113" s="1"/>
  <c r="H77" i="113" s="1"/>
  <c r="H78" i="113" s="1"/>
  <c r="H79" i="113" s="1"/>
  <c r="H80" i="113" s="1"/>
  <c r="H81" i="113" s="1"/>
  <c r="H82" i="113" s="1"/>
  <c r="H83" i="113" s="1"/>
  <c r="H84" i="113" s="1"/>
  <c r="H85" i="113" s="1"/>
  <c r="H86" i="113" s="1"/>
  <c r="H87" i="113" s="1"/>
  <c r="H88" i="113" s="1"/>
  <c r="H89" i="113" s="1"/>
  <c r="H90" i="113" s="1"/>
  <c r="H91" i="113" s="1"/>
  <c r="H92" i="113" s="1"/>
  <c r="H93" i="113" s="1"/>
  <c r="H94" i="113" s="1"/>
  <c r="H95" i="113" s="1"/>
  <c r="H96" i="113" s="1"/>
  <c r="H97" i="113" s="1"/>
  <c r="A48" i="113"/>
  <c r="A49" i="113" s="1"/>
  <c r="A50" i="113" s="1"/>
  <c r="H11" i="113"/>
  <c r="H12" i="113" s="1"/>
  <c r="H13" i="113" s="1"/>
  <c r="H14" i="113" s="1"/>
  <c r="H15" i="113" s="1"/>
  <c r="H16" i="113" s="1"/>
  <c r="H17" i="113" s="1"/>
  <c r="H18" i="113" s="1"/>
  <c r="H19" i="113" s="1"/>
  <c r="H20" i="113" s="1"/>
  <c r="H21" i="113" s="1"/>
  <c r="H22" i="113" s="1"/>
  <c r="H23" i="113" s="1"/>
  <c r="H24" i="113" s="1"/>
  <c r="H25" i="113" s="1"/>
  <c r="H26" i="113" s="1"/>
  <c r="H27" i="113" s="1"/>
  <c r="H28" i="113" s="1"/>
  <c r="H29" i="113" s="1"/>
  <c r="H30" i="113" s="1"/>
  <c r="H31" i="113" s="1"/>
  <c r="H32" i="113" s="1"/>
  <c r="H33" i="113" s="1"/>
  <c r="H34" i="113" s="1"/>
  <c r="H35" i="113" s="1"/>
  <c r="A12" i="113"/>
  <c r="E12" i="111"/>
  <c r="E14" i="111" s="1"/>
  <c r="E17" i="111" s="1"/>
  <c r="H11" i="111"/>
  <c r="H12" i="111" s="1"/>
  <c r="H13" i="111" s="1"/>
  <c r="H14" i="111" s="1"/>
  <c r="H15" i="111" s="1"/>
  <c r="A12" i="111"/>
  <c r="B42" i="112"/>
  <c r="E9" i="2"/>
  <c r="B38" i="112"/>
  <c r="B36" i="112"/>
  <c r="B34" i="112"/>
  <c r="E11" i="112"/>
  <c r="E12" i="112" s="1"/>
  <c r="A12" i="112"/>
  <c r="A13" i="112" s="1"/>
  <c r="C17" i="85"/>
  <c r="C15" i="85"/>
  <c r="A12" i="85"/>
  <c r="A13" i="85" s="1"/>
  <c r="A14" i="85" s="1"/>
  <c r="A15" i="85" s="1"/>
  <c r="A16" i="85" s="1"/>
  <c r="A17" i="85" s="1"/>
  <c r="A18" i="85" s="1"/>
  <c r="A19" i="85" s="1"/>
  <c r="E11" i="85"/>
  <c r="E12" i="85" s="1"/>
  <c r="E13" i="85" s="1"/>
  <c r="E14" i="85" s="1"/>
  <c r="E15" i="85" s="1"/>
  <c r="E16" i="85" s="1"/>
  <c r="E17" i="85" s="1"/>
  <c r="E18" i="85" s="1"/>
  <c r="E19" i="85" s="1"/>
  <c r="E20" i="85" s="1"/>
  <c r="E21" i="85" s="1"/>
  <c r="E22" i="85" s="1"/>
  <c r="E23" i="85" s="1"/>
  <c r="E24" i="85" s="1"/>
  <c r="E25" i="85" s="1"/>
  <c r="E26" i="85" s="1"/>
  <c r="E27" i="85" s="1"/>
  <c r="E28" i="85" s="1"/>
  <c r="B4" i="84"/>
  <c r="D13" i="84"/>
  <c r="D14" i="84" s="1"/>
  <c r="B74" i="82"/>
  <c r="J81" i="82"/>
  <c r="J82" i="82" s="1"/>
  <c r="J83" i="82" s="1"/>
  <c r="J84" i="82" s="1"/>
  <c r="J85" i="82" s="1"/>
  <c r="J86" i="82" s="1"/>
  <c r="J87" i="82" s="1"/>
  <c r="J88" i="82" s="1"/>
  <c r="J89" i="82" s="1"/>
  <c r="J90" i="82" s="1"/>
  <c r="J91" i="82" s="1"/>
  <c r="J92" i="82" s="1"/>
  <c r="J93" i="82" s="1"/>
  <c r="J94" i="82" s="1"/>
  <c r="J95" i="82" s="1"/>
  <c r="J96" i="82" s="1"/>
  <c r="J97" i="82" s="1"/>
  <c r="J98" i="82" s="1"/>
  <c r="J99" i="82" s="1"/>
  <c r="J100" i="82" s="1"/>
  <c r="J101" i="82" s="1"/>
  <c r="J102" i="82" s="1"/>
  <c r="J103" i="82" s="1"/>
  <c r="J104" i="82" s="1"/>
  <c r="J105" i="82" s="1"/>
  <c r="J106" i="82" s="1"/>
  <c r="J107" i="82" s="1"/>
  <c r="J108" i="82" s="1"/>
  <c r="J109" i="82" s="1"/>
  <c r="J110" i="82" s="1"/>
  <c r="A81" i="82"/>
  <c r="A82" i="82" s="1"/>
  <c r="A83" i="82" s="1"/>
  <c r="A84" i="82" s="1"/>
  <c r="A85" i="82" s="1"/>
  <c r="E49" i="82"/>
  <c r="A12" i="82"/>
  <c r="A13" i="82" s="1"/>
  <c r="A14" i="82" s="1"/>
  <c r="A15" i="82" s="1"/>
  <c r="A16" i="82" s="1"/>
  <c r="A17" i="82" s="1"/>
  <c r="A18" i="82" s="1"/>
  <c r="A19" i="82" s="1"/>
  <c r="A20" i="82" s="1"/>
  <c r="J11" i="82"/>
  <c r="J12" i="82" s="1"/>
  <c r="J13" i="82" s="1"/>
  <c r="J14" i="82" s="1"/>
  <c r="J15" i="82" s="1"/>
  <c r="J16" i="82" s="1"/>
  <c r="J17" i="82" s="1"/>
  <c r="J18" i="82" s="1"/>
  <c r="J19" i="82" s="1"/>
  <c r="J20" i="82" s="1"/>
  <c r="J21" i="82" s="1"/>
  <c r="J22" i="82" s="1"/>
  <c r="J23" i="82" s="1"/>
  <c r="J24" i="82" s="1"/>
  <c r="J25" i="82" s="1"/>
  <c r="J26" i="82" s="1"/>
  <c r="J27" i="82" s="1"/>
  <c r="J28" i="82" s="1"/>
  <c r="J29" i="82" s="1"/>
  <c r="J30" i="82" s="1"/>
  <c r="J31" i="82" s="1"/>
  <c r="J32" i="82" s="1"/>
  <c r="J33" i="82" s="1"/>
  <c r="J34" i="82" s="1"/>
  <c r="J35" i="82" s="1"/>
  <c r="J36" i="82" s="1"/>
  <c r="J37" i="82" s="1"/>
  <c r="J38" i="82" s="1"/>
  <c r="J39" i="82" s="1"/>
  <c r="J40" i="82" s="1"/>
  <c r="J41" i="82" s="1"/>
  <c r="J42" i="82" s="1"/>
  <c r="J43" i="82" s="1"/>
  <c r="J44" i="82" s="1"/>
  <c r="J45" i="82" s="1"/>
  <c r="J46" i="82" s="1"/>
  <c r="J47" i="82" s="1"/>
  <c r="J48" i="82" s="1"/>
  <c r="J49" i="82" s="1"/>
  <c r="J50" i="82" s="1"/>
  <c r="J51" i="82" s="1"/>
  <c r="J52" i="82" s="1"/>
  <c r="J53" i="82" s="1"/>
  <c r="J54" i="82" s="1"/>
  <c r="J55" i="82" s="1"/>
  <c r="J56" i="82" s="1"/>
  <c r="J57" i="82" s="1"/>
  <c r="J58" i="82" s="1"/>
  <c r="J59" i="82" s="1"/>
  <c r="J60" i="82" s="1"/>
  <c r="J61" i="82" s="1"/>
  <c r="J62" i="82" s="1"/>
  <c r="J63" i="82" s="1"/>
  <c r="J64" i="82" s="1"/>
  <c r="J65" i="82" s="1"/>
  <c r="G59" i="40"/>
  <c r="H11" i="40"/>
  <c r="H12" i="40" s="1"/>
  <c r="H13" i="40" s="1"/>
  <c r="H14" i="40" s="1"/>
  <c r="H15" i="40" s="1"/>
  <c r="H16" i="40" s="1"/>
  <c r="H17" i="40" s="1"/>
  <c r="H18" i="40" s="1"/>
  <c r="H19" i="40" s="1"/>
  <c r="H20" i="40" s="1"/>
  <c r="H21" i="40" s="1"/>
  <c r="H22" i="40" s="1"/>
  <c r="H23" i="40" s="1"/>
  <c r="H24" i="40" s="1"/>
  <c r="H25" i="40" s="1"/>
  <c r="H26" i="40" s="1"/>
  <c r="H27" i="40" s="1"/>
  <c r="H28" i="40" s="1"/>
  <c r="H29" i="40" s="1"/>
  <c r="H30" i="40" s="1"/>
  <c r="H31" i="40" s="1"/>
  <c r="H32" i="40" s="1"/>
  <c r="H33" i="40" s="1"/>
  <c r="H34" i="40" s="1"/>
  <c r="H35" i="40" s="1"/>
  <c r="H36" i="40" s="1"/>
  <c r="H37" i="40" s="1"/>
  <c r="H38" i="40" s="1"/>
  <c r="H39" i="40" s="1"/>
  <c r="H40" i="40" s="1"/>
  <c r="H41" i="40" s="1"/>
  <c r="H42" i="40" s="1"/>
  <c r="H43" i="40" s="1"/>
  <c r="H44" i="40" s="1"/>
  <c r="H45" i="40" s="1"/>
  <c r="H46" i="40" s="1"/>
  <c r="H47" i="40" s="1"/>
  <c r="H48" i="40" s="1"/>
  <c r="H49" i="40" s="1"/>
  <c r="H50" i="40" s="1"/>
  <c r="H51" i="40" s="1"/>
  <c r="H52" i="40" s="1"/>
  <c r="H53" i="40" s="1"/>
  <c r="H54" i="40" s="1"/>
  <c r="H55" i="40" s="1"/>
  <c r="H56" i="40" s="1"/>
  <c r="H57" i="40" s="1"/>
  <c r="H58" i="40" s="1"/>
  <c r="H59" i="40" s="1"/>
  <c r="H60" i="40" s="1"/>
  <c r="H61" i="40" s="1"/>
  <c r="H62" i="40" s="1"/>
  <c r="H63" i="40" s="1"/>
  <c r="H64" i="40" s="1"/>
  <c r="H65" i="40" s="1"/>
  <c r="H66" i="40" s="1"/>
  <c r="H67" i="40" s="1"/>
  <c r="H68" i="40" s="1"/>
  <c r="A12" i="40"/>
  <c r="G12" i="111" s="1"/>
  <c r="G9" i="2"/>
  <c r="A12" i="2"/>
  <c r="A13" i="2" s="1"/>
  <c r="A14" i="2" s="1"/>
  <c r="A15" i="2" s="1"/>
  <c r="A16" i="2" s="1"/>
  <c r="A17" i="2" s="1"/>
  <c r="L11" i="2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A12" i="22"/>
  <c r="A13" i="22" s="1"/>
  <c r="L11" i="22"/>
  <c r="L12" i="22" s="1"/>
  <c r="L13" i="22" s="1"/>
  <c r="L14" i="22" s="1"/>
  <c r="L15" i="22" s="1"/>
  <c r="L16" i="22" s="1"/>
  <c r="L17" i="22" s="1"/>
  <c r="L18" i="22" s="1"/>
  <c r="L19" i="22" s="1"/>
  <c r="L20" i="22" s="1"/>
  <c r="L21" i="22" s="1"/>
  <c r="L22" i="22" s="1"/>
  <c r="L23" i="22" s="1"/>
  <c r="L24" i="22" s="1"/>
  <c r="L25" i="22" s="1"/>
  <c r="L26" i="22" s="1"/>
  <c r="L27" i="22" s="1"/>
  <c r="L28" i="22" s="1"/>
  <c r="L29" i="22" s="1"/>
  <c r="D7" i="135"/>
  <c r="C7" i="135"/>
  <c r="G11" i="135"/>
  <c r="G12" i="135" s="1"/>
  <c r="G13" i="135" s="1"/>
  <c r="G14" i="135" s="1"/>
  <c r="G15" i="135" s="1"/>
  <c r="G16" i="135" s="1"/>
  <c r="H11" i="38"/>
  <c r="G15" i="45"/>
  <c r="G13" i="45"/>
  <c r="H11" i="45"/>
  <c r="H12" i="45" s="1"/>
  <c r="H13" i="45" s="1"/>
  <c r="H14" i="45" s="1"/>
  <c r="H15" i="45" s="1"/>
  <c r="H16" i="45" s="1"/>
  <c r="H17" i="45" s="1"/>
  <c r="H18" i="45" s="1"/>
  <c r="H19" i="45" s="1"/>
  <c r="H20" i="45" s="1"/>
  <c r="H21" i="45" s="1"/>
  <c r="H22" i="45" s="1"/>
  <c r="H23" i="45" s="1"/>
  <c r="H24" i="45" s="1"/>
  <c r="H25" i="45" s="1"/>
  <c r="H26" i="45" s="1"/>
  <c r="H27" i="45" s="1"/>
  <c r="A12" i="45"/>
  <c r="A13" i="45" s="1"/>
  <c r="E14" i="146" l="1"/>
  <c r="I36" i="114"/>
  <c r="A37" i="114"/>
  <c r="A38" i="114" s="1"/>
  <c r="A39" i="114" s="1"/>
  <c r="A40" i="114" s="1"/>
  <c r="I38" i="114"/>
  <c r="I34" i="114"/>
  <c r="A13" i="113"/>
  <c r="A14" i="113" s="1"/>
  <c r="A15" i="113" s="1"/>
  <c r="A16" i="113" s="1"/>
  <c r="A17" i="113" s="1"/>
  <c r="A18" i="113" s="1"/>
  <c r="A19" i="113" s="1"/>
  <c r="A20" i="113" s="1"/>
  <c r="A21" i="113" s="1"/>
  <c r="A22" i="113" s="1"/>
  <c r="D36" i="112"/>
  <c r="A14" i="112"/>
  <c r="A15" i="112" s="1"/>
  <c r="A16" i="112" s="1"/>
  <c r="A17" i="112" s="1"/>
  <c r="C19" i="85"/>
  <c r="A20" i="85"/>
  <c r="A21" i="85" s="1"/>
  <c r="A22" i="85" s="1"/>
  <c r="A23" i="85" s="1"/>
  <c r="A11" i="135"/>
  <c r="A18" i="2"/>
  <c r="A19" i="2" s="1"/>
  <c r="G61" i="40"/>
  <c r="A13" i="40"/>
  <c r="A14" i="40" s="1"/>
  <c r="A15" i="40" s="1"/>
  <c r="A16" i="40" s="1"/>
  <c r="A17" i="40" s="1"/>
  <c r="A18" i="40" s="1"/>
  <c r="A19" i="40" s="1"/>
  <c r="A20" i="40" s="1"/>
  <c r="A21" i="40" s="1"/>
  <c r="A22" i="40" s="1"/>
  <c r="A23" i="40" s="1"/>
  <c r="A24" i="40" s="1"/>
  <c r="A25" i="40" s="1"/>
  <c r="A26" i="40" s="1"/>
  <c r="A27" i="40" s="1"/>
  <c r="A28" i="40" s="1"/>
  <c r="A29" i="40" s="1"/>
  <c r="A30" i="40" s="1"/>
  <c r="A31" i="40" s="1"/>
  <c r="A32" i="40" s="1"/>
  <c r="A33" i="40" s="1"/>
  <c r="A34" i="40" s="1"/>
  <c r="H16" i="111"/>
  <c r="H17" i="111" s="1"/>
  <c r="H18" i="111" s="1"/>
  <c r="H19" i="111" s="1"/>
  <c r="H20" i="111" s="1"/>
  <c r="H21" i="111" s="1"/>
  <c r="H22" i="111" s="1"/>
  <c r="H23" i="111" s="1"/>
  <c r="H24" i="111" s="1"/>
  <c r="H25" i="111" s="1"/>
  <c r="H26" i="111" s="1"/>
  <c r="H27" i="111" s="1"/>
  <c r="A13" i="111"/>
  <c r="A14" i="111" s="1"/>
  <c r="G9" i="34"/>
  <c r="G9" i="22"/>
  <c r="E9" i="34"/>
  <c r="E9" i="22"/>
  <c r="A14" i="45"/>
  <c r="A15" i="45" s="1"/>
  <c r="B5" i="113"/>
  <c r="A51" i="113"/>
  <c r="A52" i="113" s="1"/>
  <c r="A53" i="113" s="1"/>
  <c r="A54" i="113" s="1"/>
  <c r="A55" i="113" s="1"/>
  <c r="A56" i="113" s="1"/>
  <c r="A57" i="113" s="1"/>
  <c r="A58" i="113" s="1"/>
  <c r="A59" i="113" s="1"/>
  <c r="A60" i="113" s="1"/>
  <c r="G52" i="113"/>
  <c r="D15" i="85"/>
  <c r="I17" i="82"/>
  <c r="G25" i="82"/>
  <c r="G32" i="82"/>
  <c r="G17" i="82"/>
  <c r="I97" i="82"/>
  <c r="A86" i="82"/>
  <c r="A21" i="82"/>
  <c r="A22" i="82" s="1"/>
  <c r="A23" i="82" s="1"/>
  <c r="A24" i="82" s="1"/>
  <c r="A25" i="82" s="1"/>
  <c r="I27" i="82" s="1"/>
  <c r="G39" i="82"/>
  <c r="C48" i="82"/>
  <c r="I29" i="2"/>
  <c r="I17" i="22"/>
  <c r="A14" i="22"/>
  <c r="A15" i="22" s="1"/>
  <c r="H11" i="46"/>
  <c r="H12" i="46" s="1"/>
  <c r="H13" i="46" s="1"/>
  <c r="H14" i="46" s="1"/>
  <c r="H15" i="46" s="1"/>
  <c r="H16" i="46" s="1"/>
  <c r="H17" i="46" s="1"/>
  <c r="H18" i="46" s="1"/>
  <c r="H19" i="46" s="1"/>
  <c r="H20" i="46" s="1"/>
  <c r="H21" i="46" s="1"/>
  <c r="H22" i="46" s="1"/>
  <c r="H23" i="46" s="1"/>
  <c r="H24" i="46" s="1"/>
  <c r="H25" i="46" s="1"/>
  <c r="H26" i="46" s="1"/>
  <c r="H27" i="46" s="1"/>
  <c r="H28" i="46" s="1"/>
  <c r="H29" i="46" s="1"/>
  <c r="H30" i="46" s="1"/>
  <c r="H31" i="46" s="1"/>
  <c r="H32" i="46" s="1"/>
  <c r="H33" i="46" s="1"/>
  <c r="H11" i="66"/>
  <c r="H12" i="66" s="1"/>
  <c r="H13" i="66" s="1"/>
  <c r="H14" i="66" s="1"/>
  <c r="H15" i="66" s="1"/>
  <c r="H16" i="66" s="1"/>
  <c r="H17" i="66" s="1"/>
  <c r="H18" i="66" s="1"/>
  <c r="H19" i="66" s="1"/>
  <c r="H20" i="66" s="1"/>
  <c r="H21" i="66" s="1"/>
  <c r="H22" i="66" s="1"/>
  <c r="H23" i="66" s="1"/>
  <c r="H24" i="66" s="1"/>
  <c r="H25" i="66" s="1"/>
  <c r="H26" i="66" s="1"/>
  <c r="H27" i="66" s="1"/>
  <c r="H28" i="66" s="1"/>
  <c r="H29" i="66" s="1"/>
  <c r="H30" i="66" s="1"/>
  <c r="H31" i="66" s="1"/>
  <c r="H32" i="66" s="1"/>
  <c r="H33" i="66" s="1"/>
  <c r="H34" i="66" s="1"/>
  <c r="H35" i="66" s="1"/>
  <c r="H36" i="66" s="1"/>
  <c r="H37" i="66" s="1"/>
  <c r="H38" i="66" s="1"/>
  <c r="A12" i="66"/>
  <c r="A13" i="66" s="1"/>
  <c r="G15" i="66" s="1"/>
  <c r="E27" i="69"/>
  <c r="A12" i="69"/>
  <c r="A13" i="69" s="1"/>
  <c r="J11" i="69"/>
  <c r="J12" i="69" s="1"/>
  <c r="J13" i="69" s="1"/>
  <c r="J14" i="69" s="1"/>
  <c r="J15" i="69" s="1"/>
  <c r="J16" i="69" s="1"/>
  <c r="J17" i="69" s="1"/>
  <c r="J18" i="69" s="1"/>
  <c r="J19" i="69" s="1"/>
  <c r="J20" i="69" s="1"/>
  <c r="J21" i="69" s="1"/>
  <c r="J22" i="69" s="1"/>
  <c r="J23" i="69" s="1"/>
  <c r="J24" i="69" s="1"/>
  <c r="J25" i="69" s="1"/>
  <c r="J26" i="69" s="1"/>
  <c r="J27" i="69" s="1"/>
  <c r="J28" i="69" s="1"/>
  <c r="J29" i="69" s="1"/>
  <c r="A11" i="75"/>
  <c r="B25" i="71"/>
  <c r="B14" i="71"/>
  <c r="B13" i="71"/>
  <c r="A35" i="40" l="1"/>
  <c r="I24" i="69"/>
  <c r="C63" i="82"/>
  <c r="E15" i="146"/>
  <c r="E79" i="146"/>
  <c r="G50" i="113"/>
  <c r="I40" i="114"/>
  <c r="A41" i="114"/>
  <c r="A42" i="114" s="1"/>
  <c r="D15" i="112" s="1"/>
  <c r="I42" i="114"/>
  <c r="A23" i="113"/>
  <c r="A24" i="113" s="1"/>
  <c r="A25" i="113" s="1"/>
  <c r="A26" i="113" s="1"/>
  <c r="A27" i="113" s="1"/>
  <c r="A28" i="113" s="1"/>
  <c r="A29" i="113" s="1"/>
  <c r="A30" i="113" s="1"/>
  <c r="A31" i="113" s="1"/>
  <c r="A32" i="113" s="1"/>
  <c r="A33" i="113" s="1"/>
  <c r="A34" i="113" s="1"/>
  <c r="A35" i="113" s="1"/>
  <c r="D13" i="112" s="1"/>
  <c r="G24" i="113"/>
  <c r="A18" i="112"/>
  <c r="A19" i="112" s="1"/>
  <c r="A20" i="112" s="1"/>
  <c r="A21" i="112" s="1"/>
  <c r="A22" i="112" s="1"/>
  <c r="A23" i="112" s="1"/>
  <c r="A24" i="112" s="1"/>
  <c r="A25" i="112" s="1"/>
  <c r="A26" i="112" s="1"/>
  <c r="A27" i="112" s="1"/>
  <c r="A28" i="112" s="1"/>
  <c r="D17" i="112"/>
  <c r="D38" i="112"/>
  <c r="A61" i="113"/>
  <c r="A62" i="113" s="1"/>
  <c r="G62" i="113"/>
  <c r="B41" i="113"/>
  <c r="C23" i="85"/>
  <c r="C27" i="85" s="1"/>
  <c r="G21" i="114" s="1"/>
  <c r="C54" i="84"/>
  <c r="C56" i="84" s="1"/>
  <c r="D23" i="85"/>
  <c r="G12" i="113"/>
  <c r="A87" i="82"/>
  <c r="A88" i="82" s="1"/>
  <c r="B24" i="75"/>
  <c r="A24" i="85"/>
  <c r="A25" i="85" s="1"/>
  <c r="A26" i="85" s="1"/>
  <c r="A27" i="85" s="1"/>
  <c r="I21" i="114" s="1"/>
  <c r="I22" i="69"/>
  <c r="E21" i="75"/>
  <c r="G86" i="82" s="1"/>
  <c r="A12" i="135"/>
  <c r="A13" i="135" s="1"/>
  <c r="A14" i="135" s="1"/>
  <c r="A15" i="135" s="1"/>
  <c r="A20" i="2"/>
  <c r="A21" i="2" s="1"/>
  <c r="G62" i="40"/>
  <c r="G27" i="40"/>
  <c r="A15" i="111"/>
  <c r="A16" i="111" s="1"/>
  <c r="A17" i="111" s="1"/>
  <c r="G14" i="111"/>
  <c r="H11" i="75"/>
  <c r="H12" i="75" s="1"/>
  <c r="A14" i="66"/>
  <c r="A15" i="66" s="1"/>
  <c r="A16" i="66" s="1"/>
  <c r="A17" i="66" s="1"/>
  <c r="A18" i="66" s="1"/>
  <c r="A19" i="66" s="1"/>
  <c r="A20" i="66" s="1"/>
  <c r="A21" i="66" s="1"/>
  <c r="A22" i="66" s="1"/>
  <c r="A23" i="66" s="1"/>
  <c r="A16" i="45"/>
  <c r="A17" i="45" s="1"/>
  <c r="A18" i="45" s="1"/>
  <c r="A19" i="45" s="1"/>
  <c r="A20" i="45" s="1"/>
  <c r="A21" i="45" s="1"/>
  <c r="A22" i="45" s="1"/>
  <c r="A23" i="45" s="1"/>
  <c r="G25" i="45" s="1"/>
  <c r="E65" i="40"/>
  <c r="D19" i="85"/>
  <c r="G27" i="82"/>
  <c r="E48" i="82"/>
  <c r="C47" i="82"/>
  <c r="C49" i="82"/>
  <c r="I25" i="82"/>
  <c r="A26" i="82"/>
  <c r="A27" i="82" s="1"/>
  <c r="A16" i="22"/>
  <c r="A17" i="22" s="1"/>
  <c r="A14" i="69"/>
  <c r="A15" i="69" s="1"/>
  <c r="I15" i="69"/>
  <c r="A12" i="75"/>
  <c r="A14" i="71"/>
  <c r="A15" i="71" s="1"/>
  <c r="A16" i="71" s="1"/>
  <c r="A17" i="71" s="1"/>
  <c r="A18" i="71" s="1"/>
  <c r="A19" i="71" s="1"/>
  <c r="A20" i="71" s="1"/>
  <c r="A21" i="71" s="1"/>
  <c r="A22" i="71" s="1"/>
  <c r="A23" i="71" s="1"/>
  <c r="A24" i="71" s="1"/>
  <c r="A25" i="71" s="1"/>
  <c r="E13" i="71"/>
  <c r="E14" i="71" s="1"/>
  <c r="E15" i="71" s="1"/>
  <c r="E16" i="71" s="1"/>
  <c r="E17" i="71" s="1"/>
  <c r="E18" i="71" s="1"/>
  <c r="E19" i="71" s="1"/>
  <c r="E20" i="71" s="1"/>
  <c r="E21" i="71" s="1"/>
  <c r="E22" i="71" s="1"/>
  <c r="E23" i="71" s="1"/>
  <c r="E24" i="71" s="1"/>
  <c r="E25" i="71" s="1"/>
  <c r="E26" i="71" s="1"/>
  <c r="E27" i="71" s="1"/>
  <c r="E28" i="71" s="1"/>
  <c r="E29" i="71" s="1"/>
  <c r="E30" i="71" s="1"/>
  <c r="E31" i="71" s="1"/>
  <c r="B27" i="70"/>
  <c r="B16" i="70"/>
  <c r="B15" i="70"/>
  <c r="A36" i="40" l="1"/>
  <c r="A37" i="40" s="1"/>
  <c r="A38" i="40" s="1"/>
  <c r="A39" i="40" s="1"/>
  <c r="A40" i="40" s="1"/>
  <c r="A41" i="40" s="1"/>
  <c r="A42" i="40" s="1"/>
  <c r="A43" i="40" s="1"/>
  <c r="A44" i="40" s="1"/>
  <c r="A45" i="40" s="1"/>
  <c r="A46" i="40" s="1"/>
  <c r="A47" i="40" s="1"/>
  <c r="A48" i="40" s="1"/>
  <c r="A49" i="40" s="1"/>
  <c r="A50" i="40" s="1"/>
  <c r="A51" i="40" s="1"/>
  <c r="A52" i="40" s="1"/>
  <c r="A53" i="40" s="1"/>
  <c r="A54" i="40" s="1"/>
  <c r="A55" i="40" s="1"/>
  <c r="A56" i="40" s="1"/>
  <c r="A57" i="40" s="1"/>
  <c r="A58" i="40" s="1"/>
  <c r="A59" i="40" s="1"/>
  <c r="A60" i="40" s="1"/>
  <c r="A61" i="40" s="1"/>
  <c r="A62" i="40" s="1"/>
  <c r="A63" i="40" s="1"/>
  <c r="A64" i="40" s="1"/>
  <c r="A65" i="40" s="1"/>
  <c r="A66" i="40" s="1"/>
  <c r="A67" i="40" s="1"/>
  <c r="A68" i="40" s="1"/>
  <c r="G25" i="66" s="1"/>
  <c r="D27" i="85"/>
  <c r="A22" i="2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D44" i="112"/>
  <c r="D42" i="112"/>
  <c r="D23" i="112"/>
  <c r="G28" i="113"/>
  <c r="G33" i="113"/>
  <c r="G26" i="113"/>
  <c r="E47" i="82"/>
  <c r="A63" i="113"/>
  <c r="A64" i="113" s="1"/>
  <c r="A65" i="113" s="1"/>
  <c r="A66" i="113" s="1"/>
  <c r="A67" i="113" s="1"/>
  <c r="A68" i="113" s="1"/>
  <c r="A69" i="113" s="1"/>
  <c r="A70" i="113" s="1"/>
  <c r="A71" i="113" s="1"/>
  <c r="A72" i="113" s="1"/>
  <c r="A73" i="113" s="1"/>
  <c r="A74" i="113" s="1"/>
  <c r="A75" i="113" s="1"/>
  <c r="A76" i="113" s="1"/>
  <c r="G16" i="113"/>
  <c r="A24" i="66"/>
  <c r="A25" i="66" s="1"/>
  <c r="A26" i="66" s="1"/>
  <c r="A27" i="66" s="1"/>
  <c r="F15" i="135"/>
  <c r="I98" i="82"/>
  <c r="A26" i="71"/>
  <c r="A27" i="71" s="1"/>
  <c r="A28" i="71" s="1"/>
  <c r="A29" i="71" s="1"/>
  <c r="A30" i="71" s="1"/>
  <c r="D27" i="71"/>
  <c r="A28" i="85"/>
  <c r="G17" i="111"/>
  <c r="A16" i="69"/>
  <c r="A17" i="69" s="1"/>
  <c r="A18" i="69" s="1"/>
  <c r="A19" i="69" s="1"/>
  <c r="E29" i="146"/>
  <c r="G71" i="113"/>
  <c r="A13" i="75"/>
  <c r="A14" i="75" s="1"/>
  <c r="H13" i="75"/>
  <c r="H14" i="75" s="1"/>
  <c r="H15" i="75" s="1"/>
  <c r="H16" i="75" s="1"/>
  <c r="A16" i="135"/>
  <c r="E61" i="146"/>
  <c r="G43" i="40"/>
  <c r="A18" i="111"/>
  <c r="A19" i="111" s="1"/>
  <c r="A20" i="111" s="1"/>
  <c r="A21" i="111" s="1"/>
  <c r="A24" i="45"/>
  <c r="A25" i="45" s="1"/>
  <c r="G57" i="113"/>
  <c r="G35" i="113"/>
  <c r="C50" i="82"/>
  <c r="I47" i="82"/>
  <c r="A28" i="82"/>
  <c r="A29" i="82" s="1"/>
  <c r="A30" i="82" s="1"/>
  <c r="I36" i="82" s="1"/>
  <c r="I99" i="82"/>
  <c r="A89" i="82"/>
  <c r="I134" i="82" s="1"/>
  <c r="A18" i="22"/>
  <c r="A19" i="22" s="1"/>
  <c r="K25" i="22" s="1"/>
  <c r="G19" i="66"/>
  <c r="I19" i="69"/>
  <c r="A16" i="70"/>
  <c r="A17" i="70" s="1"/>
  <c r="A18" i="70" s="1"/>
  <c r="A19" i="70" s="1"/>
  <c r="A20" i="70" s="1"/>
  <c r="A21" i="70" s="1"/>
  <c r="A22" i="70" s="1"/>
  <c r="A23" i="70" s="1"/>
  <c r="A24" i="70" s="1"/>
  <c r="A25" i="70" s="1"/>
  <c r="A26" i="70" s="1"/>
  <c r="A27" i="70" s="1"/>
  <c r="E15" i="70"/>
  <c r="E16" i="70" s="1"/>
  <c r="E17" i="70" s="1"/>
  <c r="E18" i="70" s="1"/>
  <c r="E19" i="70" s="1"/>
  <c r="E20" i="70" s="1"/>
  <c r="E21" i="70" s="1"/>
  <c r="E22" i="70" s="1"/>
  <c r="E23" i="70" s="1"/>
  <c r="E24" i="70" s="1"/>
  <c r="E25" i="70" s="1"/>
  <c r="E26" i="70" s="1"/>
  <c r="E27" i="70" s="1"/>
  <c r="E28" i="70" s="1"/>
  <c r="E29" i="70" s="1"/>
  <c r="E30" i="70" s="1"/>
  <c r="E31" i="70" s="1"/>
  <c r="E32" i="70" s="1"/>
  <c r="E33" i="70" s="1"/>
  <c r="B15" i="56"/>
  <c r="B5" i="56"/>
  <c r="A16" i="56"/>
  <c r="E15" i="56"/>
  <c r="E16" i="56" s="1"/>
  <c r="F28" i="42"/>
  <c r="F20" i="42"/>
  <c r="A12" i="42"/>
  <c r="A13" i="42" s="1"/>
  <c r="A14" i="42" s="1"/>
  <c r="A15" i="42" s="1"/>
  <c r="H11" i="42"/>
  <c r="H12" i="42" s="1"/>
  <c r="H13" i="42" s="1"/>
  <c r="H14" i="42" s="1"/>
  <c r="H15" i="42" s="1"/>
  <c r="H16" i="42" s="1"/>
  <c r="H17" i="42" s="1"/>
  <c r="H18" i="42" s="1"/>
  <c r="H19" i="42" s="1"/>
  <c r="H20" i="42" s="1"/>
  <c r="H21" i="42" s="1"/>
  <c r="H22" i="42" s="1"/>
  <c r="H23" i="42" s="1"/>
  <c r="H24" i="42" s="1"/>
  <c r="H25" i="42" s="1"/>
  <c r="H26" i="42" s="1"/>
  <c r="H27" i="42" s="1"/>
  <c r="H28" i="42" s="1"/>
  <c r="H29" i="42" s="1"/>
  <c r="H30" i="42" s="1"/>
  <c r="H31" i="42" s="1"/>
  <c r="H32" i="42" s="1"/>
  <c r="H33" i="42" s="1"/>
  <c r="H34" i="42" s="1"/>
  <c r="H35" i="42" s="1"/>
  <c r="H36" i="42" s="1"/>
  <c r="H37" i="42" s="1"/>
  <c r="A12" i="41"/>
  <c r="A13" i="41" s="1"/>
  <c r="A14" i="41" s="1"/>
  <c r="A15" i="41" s="1"/>
  <c r="F45" i="41"/>
  <c r="E21" i="40"/>
  <c r="E18" i="40"/>
  <c r="E17" i="40"/>
  <c r="K35" i="2" l="1"/>
  <c r="G61" i="82"/>
  <c r="G62" i="82"/>
  <c r="G27" i="66"/>
  <c r="A28" i="66"/>
  <c r="A29" i="66" s="1"/>
  <c r="A30" i="66" s="1"/>
  <c r="A31" i="66" s="1"/>
  <c r="A32" i="66" s="1"/>
  <c r="A33" i="66" s="1"/>
  <c r="A34" i="66" s="1"/>
  <c r="A35" i="66" s="1"/>
  <c r="A36" i="66" s="1"/>
  <c r="A37" i="66" s="1"/>
  <c r="A38" i="66" s="1"/>
  <c r="G60" i="113"/>
  <c r="A77" i="113"/>
  <c r="A78" i="113" s="1"/>
  <c r="A79" i="113" s="1"/>
  <c r="A80" i="113" s="1"/>
  <c r="G89" i="113"/>
  <c r="D46" i="112"/>
  <c r="D27" i="112"/>
  <c r="A15" i="75"/>
  <c r="A16" i="75" s="1"/>
  <c r="G17" i="75" s="1"/>
  <c r="G21" i="111"/>
  <c r="A28" i="70"/>
  <c r="A29" i="70" s="1"/>
  <c r="A30" i="70" s="1"/>
  <c r="A31" i="70" s="1"/>
  <c r="A32" i="70" s="1"/>
  <c r="D29" i="70"/>
  <c r="E23" i="40"/>
  <c r="F17" i="42"/>
  <c r="E19" i="40"/>
  <c r="A20" i="69"/>
  <c r="A21" i="69" s="1"/>
  <c r="A22" i="69" s="1"/>
  <c r="A23" i="69" s="1"/>
  <c r="A24" i="69" s="1"/>
  <c r="A25" i="69" s="1"/>
  <c r="E30" i="146"/>
  <c r="G72" i="113"/>
  <c r="A31" i="71"/>
  <c r="I17" i="69"/>
  <c r="E62" i="41"/>
  <c r="E24" i="41" s="1"/>
  <c r="A16" i="41"/>
  <c r="A17" i="41" s="1"/>
  <c r="A18" i="41" s="1"/>
  <c r="A19" i="41" s="1"/>
  <c r="A20" i="41" s="1"/>
  <c r="E15" i="41"/>
  <c r="D41" i="41"/>
  <c r="H38" i="42"/>
  <c r="H39" i="42" s="1"/>
  <c r="H40" i="42" s="1"/>
  <c r="H41" i="42" s="1"/>
  <c r="H42" i="42" s="1"/>
  <c r="H43" i="42" s="1"/>
  <c r="H44" i="42" s="1"/>
  <c r="H45" i="42" s="1"/>
  <c r="H17" i="75"/>
  <c r="H18" i="75" s="1"/>
  <c r="H19" i="75" s="1"/>
  <c r="H20" i="75" s="1"/>
  <c r="H21" i="75" s="1"/>
  <c r="G45" i="40"/>
  <c r="A22" i="111"/>
  <c r="A23" i="111" s="1"/>
  <c r="G25" i="111" s="1"/>
  <c r="G23" i="111"/>
  <c r="G14" i="113"/>
  <c r="G27" i="45"/>
  <c r="A26" i="45"/>
  <c r="A27" i="45" s="1"/>
  <c r="G19" i="46" s="1"/>
  <c r="G44" i="40"/>
  <c r="A16" i="42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F22" i="42"/>
  <c r="F24" i="42"/>
  <c r="G67" i="113"/>
  <c r="F19" i="42"/>
  <c r="F18" i="42"/>
  <c r="F21" i="42"/>
  <c r="F15" i="42"/>
  <c r="E44" i="40" s="1"/>
  <c r="F23" i="42"/>
  <c r="D47" i="82"/>
  <c r="G47" i="82" s="1"/>
  <c r="D49" i="82"/>
  <c r="G49" i="82" s="1"/>
  <c r="D48" i="82"/>
  <c r="G48" i="82" s="1"/>
  <c r="A90" i="82"/>
  <c r="A91" i="82" s="1"/>
  <c r="A31" i="82"/>
  <c r="A20" i="22"/>
  <c r="A21" i="22" s="1"/>
  <c r="E69" i="146" s="1"/>
  <c r="K21" i="22"/>
  <c r="K23" i="22"/>
  <c r="F12" i="42"/>
  <c r="F14" i="42"/>
  <c r="F11" i="42"/>
  <c r="F13" i="42"/>
  <c r="D26" i="42"/>
  <c r="D30" i="42" s="1"/>
  <c r="E30" i="40" s="1"/>
  <c r="E43" i="40" s="1"/>
  <c r="A17" i="75" l="1"/>
  <c r="G65" i="82"/>
  <c r="G130" i="82" s="1"/>
  <c r="G136" i="82" s="1"/>
  <c r="G145" i="82" s="1"/>
  <c r="G60" i="82"/>
  <c r="G63" i="82" s="1"/>
  <c r="G153" i="82" s="1"/>
  <c r="D63" i="82"/>
  <c r="A81" i="113"/>
  <c r="A82" i="113" s="1"/>
  <c r="A83" i="113" s="1"/>
  <c r="G20" i="113"/>
  <c r="I25" i="69"/>
  <c r="E22" i="40"/>
  <c r="A33" i="70"/>
  <c r="I11" i="69"/>
  <c r="A21" i="41"/>
  <c r="A22" i="41" s="1"/>
  <c r="A23" i="41" s="1"/>
  <c r="A24" i="41" s="1"/>
  <c r="H46" i="42"/>
  <c r="H47" i="42" s="1"/>
  <c r="H48" i="42" s="1"/>
  <c r="H49" i="42" s="1"/>
  <c r="H50" i="42" s="1"/>
  <c r="H51" i="42" s="1"/>
  <c r="H52" i="42" s="1"/>
  <c r="H53" i="42" s="1"/>
  <c r="H54" i="42" s="1"/>
  <c r="H55" i="42" s="1"/>
  <c r="H56" i="42" s="1"/>
  <c r="H57" i="42" s="1"/>
  <c r="H58" i="42" s="1"/>
  <c r="H59" i="42" s="1"/>
  <c r="H60" i="42" s="1"/>
  <c r="G26" i="42"/>
  <c r="F16" i="42"/>
  <c r="F26" i="42" s="1"/>
  <c r="F30" i="42" s="1"/>
  <c r="A18" i="75"/>
  <c r="A19" i="75" s="1"/>
  <c r="A20" i="75" s="1"/>
  <c r="A21" i="75" s="1"/>
  <c r="I86" i="82" s="1"/>
  <c r="I23" i="69"/>
  <c r="G55" i="113"/>
  <c r="G47" i="40"/>
  <c r="A24" i="111"/>
  <c r="A25" i="111" s="1"/>
  <c r="A26" i="111" s="1"/>
  <c r="A27" i="111" s="1"/>
  <c r="D11" i="112" s="1"/>
  <c r="G18" i="113"/>
  <c r="G52" i="82"/>
  <c r="G85" i="82" s="1"/>
  <c r="G97" i="82" s="1"/>
  <c r="D50" i="82"/>
  <c r="G50" i="82"/>
  <c r="G108" i="82" s="1"/>
  <c r="I100" i="82"/>
  <c r="A92" i="82"/>
  <c r="A93" i="82" s="1"/>
  <c r="A94" i="82" s="1"/>
  <c r="A95" i="82" s="1"/>
  <c r="A96" i="82" s="1"/>
  <c r="A97" i="82" s="1"/>
  <c r="A98" i="82" s="1"/>
  <c r="A99" i="82" s="1"/>
  <c r="A100" i="82" s="1"/>
  <c r="A101" i="82" s="1"/>
  <c r="I146" i="82" s="1"/>
  <c r="A32" i="82"/>
  <c r="I32" i="82"/>
  <c r="A22" i="22"/>
  <c r="A23" i="22" s="1"/>
  <c r="G23" i="66"/>
  <c r="A26" i="69"/>
  <c r="A27" i="69" s="1"/>
  <c r="I29" i="69" s="1"/>
  <c r="A27" i="42"/>
  <c r="A28" i="42" s="1"/>
  <c r="A29" i="42" s="1"/>
  <c r="A30" i="42" s="1"/>
  <c r="F21" i="41"/>
  <c r="A84" i="113" l="1"/>
  <c r="A85" i="113" s="1"/>
  <c r="A86" i="113" s="1"/>
  <c r="A87" i="113" s="1"/>
  <c r="A88" i="113" s="1"/>
  <c r="A89" i="113" s="1"/>
  <c r="A90" i="113" s="1"/>
  <c r="A91" i="113" s="1"/>
  <c r="A92" i="113" s="1"/>
  <c r="A93" i="113" s="1"/>
  <c r="A94" i="113" s="1"/>
  <c r="A95" i="113" s="1"/>
  <c r="A96" i="113" s="1"/>
  <c r="A97" i="113" s="1"/>
  <c r="G142" i="82"/>
  <c r="G148" i="82" s="1"/>
  <c r="G151" i="82" s="1"/>
  <c r="G155" i="82" s="1"/>
  <c r="G21" i="75"/>
  <c r="G27" i="111"/>
  <c r="E45" i="40"/>
  <c r="E27" i="41"/>
  <c r="A25" i="41"/>
  <c r="A26" i="41" s="1"/>
  <c r="A27" i="41" s="1"/>
  <c r="E26" i="42"/>
  <c r="E30" i="42" s="1"/>
  <c r="A24" i="22"/>
  <c r="A25" i="22" s="1"/>
  <c r="E70" i="146"/>
  <c r="G64" i="40"/>
  <c r="G58" i="40"/>
  <c r="G74" i="113"/>
  <c r="G36" i="66"/>
  <c r="K19" i="22"/>
  <c r="G46" i="40"/>
  <c r="K33" i="2"/>
  <c r="A31" i="42"/>
  <c r="A32" i="42" s="1"/>
  <c r="A33" i="42" s="1"/>
  <c r="A34" i="42" s="1"/>
  <c r="G30" i="40"/>
  <c r="G30" i="42"/>
  <c r="A102" i="82"/>
  <c r="A103" i="82" s="1"/>
  <c r="I106" i="82" s="1"/>
  <c r="I48" i="82"/>
  <c r="A33" i="82"/>
  <c r="A34" i="82" s="1"/>
  <c r="A35" i="82" s="1"/>
  <c r="G49" i="40"/>
  <c r="A28" i="69"/>
  <c r="A29" i="69" s="1"/>
  <c r="F13" i="41"/>
  <c r="F14" i="41"/>
  <c r="F22" i="41"/>
  <c r="F11" i="41"/>
  <c r="F23" i="41"/>
  <c r="H11" i="41"/>
  <c r="H12" i="41" s="1"/>
  <c r="H13" i="41" s="1"/>
  <c r="H14" i="41" s="1"/>
  <c r="H15" i="41" s="1"/>
  <c r="H16" i="41" s="1"/>
  <c r="H17" i="41" s="1"/>
  <c r="H18" i="41" s="1"/>
  <c r="H19" i="41" s="1"/>
  <c r="H20" i="41" s="1"/>
  <c r="H21" i="41" s="1"/>
  <c r="H22" i="41" s="1"/>
  <c r="H23" i="41" s="1"/>
  <c r="H24" i="41" s="1"/>
  <c r="H25" i="41" s="1"/>
  <c r="H26" i="41" s="1"/>
  <c r="H27" i="41" s="1"/>
  <c r="H28" i="41" s="1"/>
  <c r="H29" i="41" s="1"/>
  <c r="H30" i="41" s="1"/>
  <c r="H31" i="41" s="1"/>
  <c r="H32" i="41" s="1"/>
  <c r="H33" i="41" s="1"/>
  <c r="H34" i="41" s="1"/>
  <c r="H35" i="41" s="1"/>
  <c r="H36" i="41" s="1"/>
  <c r="H37" i="41" s="1"/>
  <c r="H38" i="41" s="1"/>
  <c r="H39" i="41" s="1"/>
  <c r="H40" i="41" s="1"/>
  <c r="H41" i="41" s="1"/>
  <c r="H42" i="41" s="1"/>
  <c r="H43" i="41" s="1"/>
  <c r="H44" i="41" s="1"/>
  <c r="H45" i="41" s="1"/>
  <c r="H46" i="41" s="1"/>
  <c r="H47" i="41" s="1"/>
  <c r="H48" i="41" s="1"/>
  <c r="H49" i="41" s="1"/>
  <c r="H50" i="41" s="1"/>
  <c r="H52" i="41" s="1"/>
  <c r="H53" i="41" s="1"/>
  <c r="H54" i="41" s="1"/>
  <c r="H55" i="41" s="1"/>
  <c r="H56" i="41" s="1"/>
  <c r="H57" i="41" s="1"/>
  <c r="H58" i="41" s="1"/>
  <c r="H59" i="41" s="1"/>
  <c r="H60" i="41" s="1"/>
  <c r="H61" i="41" s="1"/>
  <c r="H62" i="41" s="1"/>
  <c r="H63" i="41" s="1"/>
  <c r="H64" i="41" s="1"/>
  <c r="H65" i="41" s="1"/>
  <c r="H66" i="41" s="1"/>
  <c r="H67" i="41" s="1"/>
  <c r="H68" i="41" s="1"/>
  <c r="H69" i="41" s="1"/>
  <c r="H70" i="41" s="1"/>
  <c r="H71" i="41" s="1"/>
  <c r="H72" i="41" s="1"/>
  <c r="H73" i="41" s="1"/>
  <c r="H74" i="41" s="1"/>
  <c r="H75" i="41" s="1"/>
  <c r="B26" i="109"/>
  <c r="B15" i="109"/>
  <c r="B14" i="109"/>
  <c r="B6" i="109"/>
  <c r="A15" i="109"/>
  <c r="A16" i="109" s="1"/>
  <c r="A17" i="109" s="1"/>
  <c r="A18" i="109" s="1"/>
  <c r="A19" i="109" s="1"/>
  <c r="A20" i="109" s="1"/>
  <c r="A21" i="109" s="1"/>
  <c r="A22" i="109" s="1"/>
  <c r="A23" i="109" s="1"/>
  <c r="A24" i="109" s="1"/>
  <c r="A25" i="109" s="1"/>
  <c r="A26" i="109" s="1"/>
  <c r="E14" i="109"/>
  <c r="E15" i="109" s="1"/>
  <c r="E16" i="109" s="1"/>
  <c r="E17" i="109" s="1"/>
  <c r="E18" i="109" s="1"/>
  <c r="E19" i="109" s="1"/>
  <c r="E20" i="109" s="1"/>
  <c r="E21" i="109" s="1"/>
  <c r="E22" i="109" s="1"/>
  <c r="E23" i="109" s="1"/>
  <c r="E24" i="109" s="1"/>
  <c r="E25" i="109" s="1"/>
  <c r="E26" i="109" s="1"/>
  <c r="E27" i="109" s="1"/>
  <c r="E28" i="109" s="1"/>
  <c r="E29" i="109" s="1"/>
  <c r="E30" i="109" s="1"/>
  <c r="E31" i="109" s="1"/>
  <c r="E32" i="109" s="1"/>
  <c r="G15" i="22"/>
  <c r="E15" i="22"/>
  <c r="B16" i="26"/>
  <c r="B14" i="26"/>
  <c r="B5" i="26"/>
  <c r="A15" i="26"/>
  <c r="A16" i="26" s="1"/>
  <c r="D19" i="26" s="1"/>
  <c r="E14" i="26"/>
  <c r="E15" i="26" s="1"/>
  <c r="E16" i="26" s="1"/>
  <c r="E17" i="26" s="1"/>
  <c r="E18" i="26" s="1"/>
  <c r="E19" i="26" s="1"/>
  <c r="E20" i="26" s="1"/>
  <c r="G13" i="22"/>
  <c r="E13" i="22"/>
  <c r="B16" i="25"/>
  <c r="B14" i="25"/>
  <c r="B5" i="25"/>
  <c r="A15" i="25"/>
  <c r="A16" i="25" s="1"/>
  <c r="D19" i="25" s="1"/>
  <c r="E14" i="25"/>
  <c r="E15" i="25" s="1"/>
  <c r="E16" i="25" s="1"/>
  <c r="E17" i="25" s="1"/>
  <c r="E18" i="25" s="1"/>
  <c r="E19" i="25" s="1"/>
  <c r="E20" i="25" s="1"/>
  <c r="F34" i="24"/>
  <c r="K18" i="24"/>
  <c r="K20" i="24"/>
  <c r="K27" i="24"/>
  <c r="K31" i="24"/>
  <c r="K19" i="24"/>
  <c r="A17" i="24"/>
  <c r="A18" i="24" s="1"/>
  <c r="A19" i="24" s="1"/>
  <c r="A20" i="24" s="1"/>
  <c r="M16" i="24"/>
  <c r="M17" i="24" s="1"/>
  <c r="M18" i="24" s="1"/>
  <c r="M19" i="24" s="1"/>
  <c r="M20" i="24" s="1"/>
  <c r="M21" i="24" s="1"/>
  <c r="M22" i="24" s="1"/>
  <c r="M23" i="24" s="1"/>
  <c r="M24" i="24" s="1"/>
  <c r="M25" i="24" s="1"/>
  <c r="M26" i="24" s="1"/>
  <c r="M27" i="24" s="1"/>
  <c r="M28" i="24" s="1"/>
  <c r="M29" i="24" s="1"/>
  <c r="M30" i="24" s="1"/>
  <c r="M31" i="24" s="1"/>
  <c r="M32" i="24" s="1"/>
  <c r="M33" i="24" s="1"/>
  <c r="M34" i="24" s="1"/>
  <c r="M35" i="24" s="1"/>
  <c r="M36" i="24" s="1"/>
  <c r="B26" i="136"/>
  <c r="B15" i="136"/>
  <c r="A15" i="136"/>
  <c r="A16" i="136" s="1"/>
  <c r="A17" i="136" s="1"/>
  <c r="A18" i="136" s="1"/>
  <c r="A19" i="136" s="1"/>
  <c r="A20" i="136" s="1"/>
  <c r="A21" i="136" s="1"/>
  <c r="A22" i="136" s="1"/>
  <c r="A23" i="136" s="1"/>
  <c r="A24" i="136" s="1"/>
  <c r="A25" i="136" s="1"/>
  <c r="A26" i="136" s="1"/>
  <c r="G14" i="136"/>
  <c r="G15" i="136" s="1"/>
  <c r="G16" i="136" s="1"/>
  <c r="G17" i="136" s="1"/>
  <c r="G18" i="136" s="1"/>
  <c r="G19" i="136" s="1"/>
  <c r="G20" i="136" s="1"/>
  <c r="G21" i="136" s="1"/>
  <c r="G22" i="136" s="1"/>
  <c r="G23" i="136" s="1"/>
  <c r="G24" i="136" s="1"/>
  <c r="G25" i="136" s="1"/>
  <c r="G26" i="136" s="1"/>
  <c r="G27" i="136" s="1"/>
  <c r="G28" i="136" s="1"/>
  <c r="G29" i="136" s="1"/>
  <c r="G30" i="136" s="1"/>
  <c r="G31" i="136" s="1"/>
  <c r="G32" i="136" s="1"/>
  <c r="B14" i="136"/>
  <c r="B5" i="136"/>
  <c r="B26" i="23"/>
  <c r="B15" i="23"/>
  <c r="B14" i="23"/>
  <c r="B5" i="23"/>
  <c r="A15" i="23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G14" i="23"/>
  <c r="G15" i="23" s="1"/>
  <c r="G16" i="23" s="1"/>
  <c r="G17" i="23" s="1"/>
  <c r="G18" i="23" s="1"/>
  <c r="G19" i="23" s="1"/>
  <c r="G20" i="23" s="1"/>
  <c r="G21" i="23" s="1"/>
  <c r="G22" i="23" s="1"/>
  <c r="G23" i="23" s="1"/>
  <c r="G24" i="23" s="1"/>
  <c r="G25" i="23" s="1"/>
  <c r="G26" i="23" s="1"/>
  <c r="G27" i="23" s="1"/>
  <c r="G28" i="23" s="1"/>
  <c r="G29" i="23" s="1"/>
  <c r="G30" i="23" s="1"/>
  <c r="G31" i="23" s="1"/>
  <c r="G32" i="23" s="1"/>
  <c r="G33" i="23" s="1"/>
  <c r="G34" i="23" s="1"/>
  <c r="G35" i="23" s="1"/>
  <c r="G36" i="23" s="1"/>
  <c r="G27" i="2"/>
  <c r="E27" i="2"/>
  <c r="B16" i="13"/>
  <c r="B14" i="13"/>
  <c r="B5" i="13"/>
  <c r="A15" i="13"/>
  <c r="A16" i="13" s="1"/>
  <c r="D19" i="13" s="1"/>
  <c r="E14" i="13"/>
  <c r="E15" i="13" s="1"/>
  <c r="E16" i="13" s="1"/>
  <c r="E17" i="13" s="1"/>
  <c r="E18" i="13" s="1"/>
  <c r="E19" i="13" s="1"/>
  <c r="E20" i="13" s="1"/>
  <c r="G25" i="2"/>
  <c r="E25" i="2"/>
  <c r="B16" i="3"/>
  <c r="B14" i="3"/>
  <c r="B5" i="3"/>
  <c r="A15" i="3"/>
  <c r="A16" i="3" s="1"/>
  <c r="D19" i="3" s="1"/>
  <c r="E14" i="3"/>
  <c r="E15" i="3" s="1"/>
  <c r="E16" i="3" s="1"/>
  <c r="E17" i="3" s="1"/>
  <c r="E18" i="3" s="1"/>
  <c r="E19" i="3" s="1"/>
  <c r="E20" i="3" s="1"/>
  <c r="K30" i="11"/>
  <c r="A16" i="11"/>
  <c r="A17" i="11" s="1"/>
  <c r="A18" i="11" s="1"/>
  <c r="A19" i="11" s="1"/>
  <c r="M15" i="11"/>
  <c r="M16" i="11" s="1"/>
  <c r="M17" i="11" s="1"/>
  <c r="M18" i="11" s="1"/>
  <c r="M19" i="11" s="1"/>
  <c r="M20" i="11" s="1"/>
  <c r="M21" i="11" s="1"/>
  <c r="M22" i="11" s="1"/>
  <c r="M23" i="11" s="1"/>
  <c r="M24" i="11" s="1"/>
  <c r="M25" i="11" s="1"/>
  <c r="M26" i="11" s="1"/>
  <c r="M27" i="11" s="1"/>
  <c r="M28" i="11" s="1"/>
  <c r="M29" i="11" s="1"/>
  <c r="M30" i="11" s="1"/>
  <c r="M31" i="11" s="1"/>
  <c r="M32" i="11" s="1"/>
  <c r="M33" i="11" s="1"/>
  <c r="M34" i="11" s="1"/>
  <c r="M35" i="11" s="1"/>
  <c r="A16" i="10"/>
  <c r="A17" i="10" s="1"/>
  <c r="A18" i="10" s="1"/>
  <c r="A19" i="10" s="1"/>
  <c r="L21" i="10" s="1"/>
  <c r="G87" i="113" l="1"/>
  <c r="G27" i="41"/>
  <c r="K30" i="24"/>
  <c r="K26" i="24"/>
  <c r="A27" i="109"/>
  <c r="A28" i="109" s="1"/>
  <c r="A29" i="109" s="1"/>
  <c r="A30" i="109" s="1"/>
  <c r="A31" i="109" s="1"/>
  <c r="D28" i="109"/>
  <c r="E31" i="146"/>
  <c r="G73" i="113"/>
  <c r="A27" i="136"/>
  <c r="A28" i="136" s="1"/>
  <c r="A29" i="136" s="1"/>
  <c r="A30" i="136" s="1"/>
  <c r="A31" i="136" s="1"/>
  <c r="F34" i="23" s="1"/>
  <c r="D31" i="136"/>
  <c r="F31" i="136"/>
  <c r="D28" i="136"/>
  <c r="F28" i="136"/>
  <c r="I25" i="2"/>
  <c r="A27" i="23"/>
  <c r="A28" i="23" s="1"/>
  <c r="A29" i="23" s="1"/>
  <c r="A30" i="23" s="1"/>
  <c r="A31" i="23" s="1"/>
  <c r="A32" i="23" s="1"/>
  <c r="A33" i="23" s="1"/>
  <c r="A34" i="23" s="1"/>
  <c r="A35" i="23" s="1"/>
  <c r="A36" i="23" s="1"/>
  <c r="K11" i="22" s="1"/>
  <c r="D31" i="23"/>
  <c r="D28" i="23"/>
  <c r="F28" i="23"/>
  <c r="I27" i="2"/>
  <c r="K28" i="24"/>
  <c r="A35" i="42"/>
  <c r="A36" i="42" s="1"/>
  <c r="I13" i="22"/>
  <c r="I15" i="22"/>
  <c r="A28" i="41"/>
  <c r="A29" i="41" s="1"/>
  <c r="A30" i="41" s="1"/>
  <c r="A26" i="22"/>
  <c r="A27" i="22" s="1"/>
  <c r="A28" i="22" s="1"/>
  <c r="A29" i="22" s="1"/>
  <c r="E71" i="146"/>
  <c r="K27" i="22"/>
  <c r="K31" i="2"/>
  <c r="G65" i="40"/>
  <c r="K41" i="2"/>
  <c r="G56" i="40"/>
  <c r="G78" i="113"/>
  <c r="G80" i="113"/>
  <c r="A104" i="82"/>
  <c r="A105" i="82" s="1"/>
  <c r="A106" i="82" s="1"/>
  <c r="A36" i="82"/>
  <c r="A37" i="82" s="1"/>
  <c r="A38" i="82" s="1"/>
  <c r="A39" i="82" s="1"/>
  <c r="A40" i="82" s="1"/>
  <c r="A41" i="82" s="1"/>
  <c r="A42" i="82" s="1"/>
  <c r="F30" i="41"/>
  <c r="F31" i="41"/>
  <c r="F35" i="41"/>
  <c r="F37" i="41"/>
  <c r="F19" i="41"/>
  <c r="F15" i="41"/>
  <c r="F32" i="41"/>
  <c r="F36" i="41"/>
  <c r="F39" i="41"/>
  <c r="F16" i="41"/>
  <c r="F12" i="41"/>
  <c r="D27" i="41"/>
  <c r="D43" i="41" s="1"/>
  <c r="D47" i="41" s="1"/>
  <c r="F18" i="41"/>
  <c r="F20" i="41"/>
  <c r="E41" i="41"/>
  <c r="F34" i="41"/>
  <c r="F25" i="41"/>
  <c r="F38" i="41"/>
  <c r="F24" i="41"/>
  <c r="F17" i="41"/>
  <c r="F33" i="41"/>
  <c r="C19" i="26"/>
  <c r="A17" i="26"/>
  <c r="A18" i="26" s="1"/>
  <c r="A19" i="26" s="1"/>
  <c r="C19" i="25"/>
  <c r="A17" i="25"/>
  <c r="A18" i="25" s="1"/>
  <c r="A19" i="25" s="1"/>
  <c r="J34" i="24"/>
  <c r="J22" i="24"/>
  <c r="I34" i="24"/>
  <c r="I22" i="24"/>
  <c r="H34" i="24"/>
  <c r="H22" i="24"/>
  <c r="G34" i="24"/>
  <c r="G22" i="24"/>
  <c r="E34" i="24"/>
  <c r="K32" i="24"/>
  <c r="K17" i="24"/>
  <c r="E22" i="24"/>
  <c r="K29" i="24"/>
  <c r="D34" i="24"/>
  <c r="K25" i="24"/>
  <c r="D22" i="24"/>
  <c r="K16" i="24"/>
  <c r="A21" i="24"/>
  <c r="A22" i="24" s="1"/>
  <c r="L22" i="24"/>
  <c r="F22" i="24"/>
  <c r="F36" i="24" s="1"/>
  <c r="K24" i="24"/>
  <c r="E28" i="136"/>
  <c r="E31" i="136" s="1"/>
  <c r="E34" i="23" s="1"/>
  <c r="C28" i="136"/>
  <c r="C31" i="136" s="1"/>
  <c r="A32" i="136"/>
  <c r="E28" i="23"/>
  <c r="E31" i="23" s="1"/>
  <c r="C28" i="23"/>
  <c r="C31" i="23" s="1"/>
  <c r="C19" i="13"/>
  <c r="A17" i="13"/>
  <c r="A18" i="13" s="1"/>
  <c r="A19" i="13" s="1"/>
  <c r="C19" i="3"/>
  <c r="A17" i="3"/>
  <c r="A18" i="3" s="1"/>
  <c r="A19" i="3" s="1"/>
  <c r="J33" i="11"/>
  <c r="I33" i="11"/>
  <c r="H33" i="11"/>
  <c r="G33" i="11"/>
  <c r="F33" i="11"/>
  <c r="E33" i="11"/>
  <c r="K31" i="11"/>
  <c r="D33" i="11"/>
  <c r="L21" i="11"/>
  <c r="A20" i="11"/>
  <c r="A21" i="11" s="1"/>
  <c r="A20" i="10"/>
  <c r="A21" i="10" s="1"/>
  <c r="B26" i="9"/>
  <c r="B15" i="9"/>
  <c r="B14" i="9"/>
  <c r="A15" i="9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G14" i="9"/>
  <c r="G15" i="9" s="1"/>
  <c r="G16" i="9" s="1"/>
  <c r="G17" i="9" s="1"/>
  <c r="G18" i="9" s="1"/>
  <c r="G19" i="9" s="1"/>
  <c r="G20" i="9" s="1"/>
  <c r="G21" i="9" s="1"/>
  <c r="G22" i="9" s="1"/>
  <c r="G23" i="9" s="1"/>
  <c r="G24" i="9" s="1"/>
  <c r="G25" i="9" s="1"/>
  <c r="G26" i="9" s="1"/>
  <c r="G27" i="9" s="1"/>
  <c r="G28" i="9" s="1"/>
  <c r="G29" i="9" s="1"/>
  <c r="G30" i="9" s="1"/>
  <c r="G31" i="9" s="1"/>
  <c r="G32" i="9" s="1"/>
  <c r="G33" i="9" s="1"/>
  <c r="G34" i="9" s="1"/>
  <c r="G35" i="9" s="1"/>
  <c r="G36" i="9" s="1"/>
  <c r="G19" i="2"/>
  <c r="E19" i="2"/>
  <c r="B17" i="8"/>
  <c r="B15" i="8"/>
  <c r="B5" i="8"/>
  <c r="A16" i="8"/>
  <c r="A17" i="8" s="1"/>
  <c r="G15" i="8"/>
  <c r="G16" i="8" s="1"/>
  <c r="G17" i="8" s="1"/>
  <c r="G18" i="8" s="1"/>
  <c r="G19" i="8" s="1"/>
  <c r="G20" i="8" s="1"/>
  <c r="G21" i="8" s="1"/>
  <c r="B26" i="7"/>
  <c r="B15" i="7"/>
  <c r="B14" i="7"/>
  <c r="B5" i="7"/>
  <c r="A15" i="7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G14" i="7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B26" i="6"/>
  <c r="B15" i="6"/>
  <c r="B14" i="6"/>
  <c r="B5" i="6"/>
  <c r="A15" i="6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G14" i="6"/>
  <c r="G15" i="6" s="1"/>
  <c r="G16" i="6" s="1"/>
  <c r="G17" i="6" s="1"/>
  <c r="G18" i="6" s="1"/>
  <c r="G19" i="6" s="1"/>
  <c r="G20" i="6" s="1"/>
  <c r="G21" i="6" s="1"/>
  <c r="G22" i="6" s="1"/>
  <c r="G23" i="6" s="1"/>
  <c r="G24" i="6" s="1"/>
  <c r="G25" i="6" s="1"/>
  <c r="G26" i="6" s="1"/>
  <c r="G27" i="6" s="1"/>
  <c r="G28" i="6" s="1"/>
  <c r="G29" i="6" s="1"/>
  <c r="G30" i="6" s="1"/>
  <c r="G31" i="6" s="1"/>
  <c r="G32" i="6" s="1"/>
  <c r="B26" i="5"/>
  <c r="B15" i="5"/>
  <c r="B14" i="5"/>
  <c r="B5" i="5"/>
  <c r="A15" i="5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G14" i="5"/>
  <c r="G15" i="5" s="1"/>
  <c r="G16" i="5" s="1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B26" i="4"/>
  <c r="B15" i="4"/>
  <c r="B14" i="4"/>
  <c r="B5" i="4"/>
  <c r="A15" i="4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G14" i="4"/>
  <c r="G15" i="4" s="1"/>
  <c r="G91" i="113" l="1"/>
  <c r="D36" i="24"/>
  <c r="E36" i="24"/>
  <c r="F36" i="23"/>
  <c r="E36" i="23"/>
  <c r="I11" i="22" s="1"/>
  <c r="C68" i="146" s="1"/>
  <c r="H35" i="11"/>
  <c r="J35" i="11"/>
  <c r="I35" i="11"/>
  <c r="D35" i="11"/>
  <c r="G35" i="11"/>
  <c r="E35" i="11"/>
  <c r="A27" i="5"/>
  <c r="A28" i="5" s="1"/>
  <c r="A29" i="5" s="1"/>
  <c r="A30" i="5" s="1"/>
  <c r="A31" i="5" s="1"/>
  <c r="D28" i="5"/>
  <c r="D31" i="5"/>
  <c r="F28" i="5"/>
  <c r="A27" i="7"/>
  <c r="A28" i="7" s="1"/>
  <c r="A29" i="7" s="1"/>
  <c r="A30" i="7" s="1"/>
  <c r="A31" i="7" s="1"/>
  <c r="D28" i="7"/>
  <c r="D31" i="7"/>
  <c r="F28" i="7"/>
  <c r="E64" i="40"/>
  <c r="A27" i="6"/>
  <c r="A28" i="6" s="1"/>
  <c r="A29" i="6" s="1"/>
  <c r="A30" i="6" s="1"/>
  <c r="A31" i="6" s="1"/>
  <c r="D31" i="6"/>
  <c r="D28" i="6"/>
  <c r="F28" i="6"/>
  <c r="F31" i="6"/>
  <c r="D20" i="8"/>
  <c r="F20" i="8"/>
  <c r="G16" i="4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E28" i="5"/>
  <c r="E31" i="5" s="1"/>
  <c r="I13" i="2" s="1"/>
  <c r="A27" i="9"/>
  <c r="A28" i="9" s="1"/>
  <c r="A29" i="9" s="1"/>
  <c r="A30" i="9" s="1"/>
  <c r="A31" i="9" s="1"/>
  <c r="D31" i="9"/>
  <c r="D28" i="9"/>
  <c r="F28" i="9"/>
  <c r="A20" i="3"/>
  <c r="K25" i="2"/>
  <c r="A20" i="26"/>
  <c r="K15" i="22"/>
  <c r="A32" i="109"/>
  <c r="G11" i="38"/>
  <c r="A20" i="13"/>
  <c r="K27" i="2"/>
  <c r="A20" i="25"/>
  <c r="K13" i="22"/>
  <c r="A27" i="4"/>
  <c r="A28" i="4" s="1"/>
  <c r="A29" i="4" s="1"/>
  <c r="A30" i="4" s="1"/>
  <c r="A31" i="4" s="1"/>
  <c r="F28" i="4"/>
  <c r="D31" i="4"/>
  <c r="D28" i="4"/>
  <c r="I19" i="2"/>
  <c r="A31" i="41"/>
  <c r="A32" i="41" s="1"/>
  <c r="A33" i="41" s="1"/>
  <c r="A34" i="41" s="1"/>
  <c r="A35" i="41" s="1"/>
  <c r="A36" i="41" s="1"/>
  <c r="K39" i="2"/>
  <c r="G52" i="40"/>
  <c r="K37" i="2"/>
  <c r="I36" i="24"/>
  <c r="G65" i="113"/>
  <c r="C28" i="5"/>
  <c r="C31" i="5" s="1"/>
  <c r="F27" i="41"/>
  <c r="A43" i="82"/>
  <c r="A44" i="82" s="1"/>
  <c r="A45" i="82" s="1"/>
  <c r="A46" i="82" s="1"/>
  <c r="I49" i="82"/>
  <c r="I39" i="82"/>
  <c r="A107" i="82"/>
  <c r="A108" i="82" s="1"/>
  <c r="G34" i="66"/>
  <c r="F41" i="41"/>
  <c r="E15" i="40"/>
  <c r="E27" i="40" s="1"/>
  <c r="E43" i="41"/>
  <c r="E47" i="41" s="1"/>
  <c r="J36" i="24"/>
  <c r="H36" i="24"/>
  <c r="G36" i="24"/>
  <c r="K22" i="24"/>
  <c r="K34" i="24"/>
  <c r="A23" i="24"/>
  <c r="A24" i="24" s="1"/>
  <c r="F35" i="11"/>
  <c r="K33" i="11"/>
  <c r="A22" i="11"/>
  <c r="A23" i="11" s="1"/>
  <c r="A22" i="10"/>
  <c r="A23" i="10" s="1"/>
  <c r="E28" i="9"/>
  <c r="E31" i="9" s="1"/>
  <c r="E36" i="9" s="1"/>
  <c r="I21" i="2" s="1"/>
  <c r="C28" i="9"/>
  <c r="C31" i="9" s="1"/>
  <c r="C20" i="8"/>
  <c r="A18" i="8"/>
  <c r="A19" i="8" s="1"/>
  <c r="A20" i="8" s="1"/>
  <c r="E28" i="7"/>
  <c r="E31" i="7" s="1"/>
  <c r="I17" i="2" s="1"/>
  <c r="C28" i="7"/>
  <c r="C31" i="7" s="1"/>
  <c r="E28" i="6"/>
  <c r="E31" i="6" s="1"/>
  <c r="I15" i="2" s="1"/>
  <c r="C28" i="6"/>
  <c r="C31" i="6" s="1"/>
  <c r="E28" i="4"/>
  <c r="E31" i="4" s="1"/>
  <c r="I11" i="2" s="1"/>
  <c r="C28" i="4"/>
  <c r="C31" i="4" s="1"/>
  <c r="G97" i="113" l="1"/>
  <c r="G95" i="113"/>
  <c r="I31" i="2"/>
  <c r="I35" i="2"/>
  <c r="E52" i="40" s="1"/>
  <c r="E58" i="40" s="1"/>
  <c r="E22" i="69"/>
  <c r="E50" i="113"/>
  <c r="E59" i="40"/>
  <c r="A21" i="8"/>
  <c r="K19" i="2"/>
  <c r="A32" i="6"/>
  <c r="K15" i="2"/>
  <c r="A47" i="82"/>
  <c r="A48" i="82" s="1"/>
  <c r="E62" i="40"/>
  <c r="A32" i="4"/>
  <c r="K11" i="2"/>
  <c r="E61" i="40"/>
  <c r="A109" i="82"/>
  <c r="A110" i="82" s="1"/>
  <c r="I16" i="114" s="1"/>
  <c r="A32" i="7"/>
  <c r="K17" i="2"/>
  <c r="A32" i="5"/>
  <c r="K13" i="2"/>
  <c r="C61" i="146"/>
  <c r="C75" i="146" s="1"/>
  <c r="C12" i="146" s="1"/>
  <c r="A32" i="9"/>
  <c r="A33" i="9" s="1"/>
  <c r="A34" i="9" s="1"/>
  <c r="A37" i="41"/>
  <c r="A37" i="42"/>
  <c r="F43" i="41"/>
  <c r="F47" i="41" s="1"/>
  <c r="I110" i="82"/>
  <c r="G48" i="40"/>
  <c r="G68" i="40"/>
  <c r="G66" i="40"/>
  <c r="G38" i="66"/>
  <c r="K36" i="24"/>
  <c r="A25" i="24"/>
  <c r="A26" i="24" s="1"/>
  <c r="A27" i="24" s="1"/>
  <c r="A28" i="24" s="1"/>
  <c r="A29" i="24" s="1"/>
  <c r="A30" i="24" s="1"/>
  <c r="A31" i="24" s="1"/>
  <c r="A32" i="24" s="1"/>
  <c r="A33" i="24" s="1"/>
  <c r="A34" i="24" s="1"/>
  <c r="K35" i="11"/>
  <c r="A24" i="11"/>
  <c r="A25" i="11" s="1"/>
  <c r="A26" i="11" s="1"/>
  <c r="A27" i="11" s="1"/>
  <c r="A28" i="11" s="1"/>
  <c r="A29" i="11" s="1"/>
  <c r="A30" i="11" s="1"/>
  <c r="A31" i="11" s="1"/>
  <c r="A32" i="11" s="1"/>
  <c r="A33" i="11" s="1"/>
  <c r="A24" i="10"/>
  <c r="A25" i="10" s="1"/>
  <c r="A26" i="10" s="1"/>
  <c r="A27" i="10" s="1"/>
  <c r="A28" i="10" s="1"/>
  <c r="A29" i="10" s="1"/>
  <c r="A30" i="10" s="1"/>
  <c r="A31" i="10" s="1"/>
  <c r="A32" i="10" s="1"/>
  <c r="A33" i="10" s="1"/>
  <c r="L35" i="10" s="1"/>
  <c r="G22" i="113" l="1"/>
  <c r="L33" i="10"/>
  <c r="E66" i="40"/>
  <c r="A35" i="9"/>
  <c r="A36" i="9" s="1"/>
  <c r="K21" i="2" s="1"/>
  <c r="G76" i="113"/>
  <c r="G19" i="111"/>
  <c r="L33" i="11"/>
  <c r="F36" i="9"/>
  <c r="A38" i="41"/>
  <c r="E62" i="146"/>
  <c r="A38" i="42"/>
  <c r="A49" i="82"/>
  <c r="A35" i="24"/>
  <c r="A36" i="24" s="1"/>
  <c r="L36" i="24"/>
  <c r="L34" i="24"/>
  <c r="A34" i="11"/>
  <c r="A35" i="11" s="1"/>
  <c r="L35" i="11"/>
  <c r="A34" i="10"/>
  <c r="A35" i="10" s="1"/>
  <c r="A39" i="41" l="1"/>
  <c r="E63" i="146"/>
  <c r="G54" i="40"/>
  <c r="A39" i="42"/>
  <c r="A50" i="82"/>
  <c r="I50" i="82"/>
  <c r="I52" i="82"/>
  <c r="C28" i="109"/>
  <c r="C31" i="109" s="1"/>
  <c r="E11" i="38" s="1"/>
  <c r="C19" i="146" s="1"/>
  <c r="A40" i="41" l="1"/>
  <c r="A41" i="41" s="1"/>
  <c r="G41" i="41"/>
  <c r="E64" i="146"/>
  <c r="G55" i="40"/>
  <c r="K43" i="2"/>
  <c r="A40" i="42"/>
  <c r="I108" i="82"/>
  <c r="A51" i="82"/>
  <c r="A52" i="82" s="1"/>
  <c r="A53" i="82" s="1"/>
  <c r="A54" i="82" s="1"/>
  <c r="A55" i="82" s="1"/>
  <c r="A56" i="82" l="1"/>
  <c r="A42" i="41"/>
  <c r="A43" i="41" s="1"/>
  <c r="G43" i="41"/>
  <c r="I13" i="69"/>
  <c r="K45" i="2"/>
  <c r="A41" i="42"/>
  <c r="I85" i="82"/>
  <c r="A57" i="82" l="1"/>
  <c r="A58" i="82" s="1"/>
  <c r="A59" i="82" s="1"/>
  <c r="A60" i="82" s="1"/>
  <c r="A44" i="41"/>
  <c r="A45" i="41" s="1"/>
  <c r="A42" i="42"/>
  <c r="A61" i="82" l="1"/>
  <c r="G47" i="41"/>
  <c r="A46" i="41"/>
  <c r="A47" i="41" s="1"/>
  <c r="A43" i="42"/>
  <c r="A62" i="82" l="1"/>
  <c r="I65" i="82" s="1"/>
  <c r="A48" i="41"/>
  <c r="A49" i="41" s="1"/>
  <c r="A50" i="41" s="1"/>
  <c r="G15" i="40"/>
  <c r="A44" i="42"/>
  <c r="A63" i="82" l="1"/>
  <c r="I63" i="82"/>
  <c r="G18" i="40"/>
  <c r="G17" i="40"/>
  <c r="A45" i="42"/>
  <c r="A64" i="82" l="1"/>
  <c r="A65" i="82" s="1"/>
  <c r="I130" i="82" s="1"/>
  <c r="I153" i="82"/>
  <c r="A46" i="42"/>
  <c r="G20" i="40" l="1"/>
  <c r="G19" i="40"/>
  <c r="G21" i="40" l="1"/>
  <c r="A47" i="42"/>
  <c r="G22" i="40" l="1"/>
  <c r="A48" i="42"/>
  <c r="C27" i="71"/>
  <c r="C30" i="71" s="1"/>
  <c r="G17" i="69" s="1"/>
  <c r="A49" i="42" l="1"/>
  <c r="A50" i="42" s="1"/>
  <c r="A51" i="42" s="1"/>
  <c r="A52" i="42" s="1"/>
  <c r="A53" i="42" s="1"/>
  <c r="A54" i="42" s="1"/>
  <c r="A55" i="42" s="1"/>
  <c r="A56" i="42" s="1"/>
  <c r="A57" i="42" s="1"/>
  <c r="A58" i="42" s="1"/>
  <c r="A59" i="42" s="1"/>
  <c r="A60" i="42" s="1"/>
  <c r="G23" i="40"/>
  <c r="B44" i="112"/>
  <c r="E13" i="112"/>
  <c r="E14" i="112" s="1"/>
  <c r="E15" i="112" s="1"/>
  <c r="E16" i="112" s="1"/>
  <c r="E17" i="112" s="1"/>
  <c r="E18" i="112" s="1"/>
  <c r="E19" i="112" s="1"/>
  <c r="E20" i="112" s="1"/>
  <c r="E21" i="112" s="1"/>
  <c r="E22" i="112" s="1"/>
  <c r="E23" i="112" s="1"/>
  <c r="E24" i="112" s="1"/>
  <c r="E25" i="112" s="1"/>
  <c r="E26" i="112" s="1"/>
  <c r="E27" i="112" s="1"/>
  <c r="E28" i="112" s="1"/>
  <c r="G24" i="40" l="1"/>
  <c r="G25" i="40" l="1"/>
  <c r="E33" i="112"/>
  <c r="E34" i="112" s="1"/>
  <c r="E35" i="112" s="1"/>
  <c r="E36" i="112" s="1"/>
  <c r="E37" i="112" s="1"/>
  <c r="E38" i="112" s="1"/>
  <c r="E39" i="112" s="1"/>
  <c r="E40" i="112" s="1"/>
  <c r="E41" i="112" s="1"/>
  <c r="E42" i="112" s="1"/>
  <c r="E43" i="112" s="1"/>
  <c r="E44" i="112" s="1"/>
  <c r="E45" i="112" s="1"/>
  <c r="E46" i="112" s="1"/>
  <c r="E47" i="112" s="1"/>
  <c r="E48" i="112" s="1"/>
  <c r="E49" i="112" s="1"/>
  <c r="E50" i="112" s="1"/>
  <c r="E51" i="112" s="1"/>
  <c r="E52" i="112" s="1"/>
  <c r="E53" i="112" s="1"/>
  <c r="E21" i="150"/>
  <c r="E41" i="150" l="1"/>
  <c r="E37" i="150"/>
  <c r="E53" i="150"/>
  <c r="E52" i="150"/>
  <c r="E50" i="150"/>
  <c r="E49" i="150"/>
  <c r="E48" i="150"/>
  <c r="E47" i="150"/>
  <c r="E46" i="150"/>
  <c r="E45" i="150"/>
  <c r="E44" i="150"/>
  <c r="E43" i="150"/>
  <c r="E42" i="150"/>
  <c r="E38" i="150"/>
  <c r="E22" i="150"/>
  <c r="E56" i="150" s="1"/>
  <c r="I21" i="34" l="1"/>
  <c r="C25" i="146" s="1"/>
  <c r="E15" i="45"/>
  <c r="E58" i="150" l="1"/>
  <c r="E13" i="45" s="1"/>
  <c r="E25" i="45" l="1"/>
  <c r="E27" i="45" s="1"/>
  <c r="E19" i="46" s="1"/>
  <c r="E21" i="46" l="1"/>
  <c r="E23" i="46"/>
  <c r="E25" i="46"/>
  <c r="A33" i="112"/>
  <c r="A34" i="112" s="1"/>
  <c r="E27" i="46" l="1"/>
  <c r="E93" i="113" s="1"/>
  <c r="A35" i="112"/>
  <c r="A36" i="112" s="1"/>
  <c r="A37" i="112" s="1"/>
  <c r="A38" i="112" s="1"/>
  <c r="A39" i="112" s="1"/>
  <c r="A40" i="112" s="1"/>
  <c r="A41" i="112" l="1"/>
  <c r="A42" i="112" s="1"/>
  <c r="A43" i="112" s="1"/>
  <c r="A44" i="112" s="1"/>
  <c r="A45" i="112" s="1"/>
  <c r="A46" i="112" s="1"/>
  <c r="A47" i="112" s="1"/>
  <c r="A48" i="112" s="1"/>
  <c r="A49" i="112" s="1"/>
  <c r="A50" i="112" s="1"/>
  <c r="A51" i="112" s="1"/>
  <c r="A52" i="112" s="1"/>
  <c r="A53" i="112" s="1"/>
  <c r="D40" i="112"/>
  <c r="E36" i="66"/>
  <c r="I19" i="22"/>
  <c r="E46" i="40"/>
  <c r="E47" i="40" s="1"/>
  <c r="I33" i="2"/>
  <c r="I37" i="2" s="1"/>
  <c r="D48" i="112" l="1"/>
  <c r="I21" i="22"/>
  <c r="C69" i="146" s="1"/>
  <c r="I23" i="22"/>
  <c r="C70" i="146" s="1"/>
  <c r="I25" i="22"/>
  <c r="C71" i="146" s="1"/>
  <c r="C62" i="146"/>
  <c r="I41" i="2"/>
  <c r="I39" i="2"/>
  <c r="D52" i="112" l="1"/>
  <c r="E54" i="40"/>
  <c r="C63" i="146"/>
  <c r="E55" i="40"/>
  <c r="C64" i="146"/>
  <c r="I27" i="22"/>
  <c r="I43" i="2"/>
  <c r="I45" i="2" l="1"/>
  <c r="G13" i="69" s="1"/>
  <c r="G19" i="69" s="1"/>
  <c r="E56" i="40"/>
  <c r="E68" i="40" s="1"/>
  <c r="E25" i="66" s="1"/>
  <c r="C65" i="146"/>
  <c r="E48" i="40" l="1"/>
  <c r="E49" i="40" s="1"/>
  <c r="E72" i="113"/>
  <c r="C30" i="146"/>
  <c r="E23" i="69" l="1"/>
  <c r="E25" i="69" s="1"/>
  <c r="E29" i="69" s="1"/>
  <c r="E55" i="113"/>
  <c r="E73" i="113" l="1"/>
  <c r="C31" i="146"/>
  <c r="E23" i="66" l="1"/>
  <c r="E27" i="66" s="1"/>
  <c r="E60" i="113" s="1"/>
  <c r="G33" i="114" l="1"/>
  <c r="G31" i="114"/>
  <c r="G29" i="114"/>
  <c r="G27" i="114"/>
  <c r="G25" i="114"/>
  <c r="G36" i="114" l="1"/>
  <c r="G38" i="114" l="1"/>
  <c r="G40" i="114" s="1"/>
  <c r="G17" i="34" l="1"/>
  <c r="I15" i="34"/>
  <c r="I13" i="34" l="1"/>
  <c r="I17" i="34" s="1"/>
  <c r="C24" i="146" l="1"/>
  <c r="E34" i="66" l="1"/>
  <c r="E38" i="66" s="1"/>
  <c r="E65" i="113" s="1"/>
  <c r="C15" i="135"/>
  <c r="D15" i="135"/>
  <c r="E15" i="135" l="1"/>
  <c r="G14" i="114" s="1"/>
  <c r="G98" i="82" l="1"/>
  <c r="D15" i="84" l="1"/>
  <c r="D16" i="84" s="1"/>
  <c r="D17" i="84" s="1"/>
  <c r="D18" i="84" s="1"/>
  <c r="D19" i="84" s="1"/>
  <c r="D20" i="84" s="1"/>
  <c r="D21" i="84" s="1"/>
  <c r="D22" i="84" s="1"/>
  <c r="D23" i="84" s="1"/>
  <c r="D24" i="84" s="1"/>
  <c r="D25" i="84" s="1"/>
  <c r="D26" i="84" s="1"/>
  <c r="D27" i="84" s="1"/>
  <c r="D28" i="84" s="1"/>
  <c r="D29" i="84" s="1"/>
  <c r="D30" i="84" s="1"/>
  <c r="D31" i="84" s="1"/>
  <c r="D32" i="84" s="1"/>
  <c r="D33" i="84" s="1"/>
  <c r="D34" i="84" s="1"/>
  <c r="D35" i="84" s="1"/>
  <c r="D36" i="84" s="1"/>
  <c r="D37" i="84" s="1"/>
  <c r="D38" i="84" s="1"/>
  <c r="D39" i="84" s="1"/>
  <c r="D40" i="84" s="1"/>
  <c r="D41" i="84" s="1"/>
  <c r="A15" i="84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A32" i="84" s="1"/>
  <c r="A33" i="84" s="1"/>
  <c r="A34" i="84" s="1"/>
  <c r="A35" i="84" s="1"/>
  <c r="A36" i="84" s="1"/>
  <c r="A37" i="84" s="1"/>
  <c r="A38" i="84" s="1"/>
  <c r="A39" i="84" s="1"/>
  <c r="A40" i="84" s="1"/>
  <c r="A41" i="84" s="1"/>
  <c r="A42" i="84" l="1"/>
  <c r="A43" i="84" s="1"/>
  <c r="A44" i="84" s="1"/>
  <c r="A45" i="84" s="1"/>
  <c r="A46" i="84" s="1"/>
  <c r="A47" i="84" s="1"/>
  <c r="A48" i="84" s="1"/>
  <c r="A49" i="84" s="1"/>
  <c r="A50" i="84" s="1"/>
  <c r="A51" i="84" s="1"/>
  <c r="A52" i="84" s="1"/>
  <c r="A53" i="84" s="1"/>
  <c r="A54" i="84" s="1"/>
  <c r="A55" i="84" s="1"/>
  <c r="A56" i="84" s="1"/>
  <c r="A57" i="84" s="1"/>
  <c r="D42" i="84"/>
  <c r="D43" i="84" s="1"/>
  <c r="D44" i="84" s="1"/>
  <c r="D45" i="84" s="1"/>
  <c r="D46" i="84" s="1"/>
  <c r="D47" i="84" s="1"/>
  <c r="D48" i="84" s="1"/>
  <c r="D49" i="84" s="1"/>
  <c r="D50" i="84" s="1"/>
  <c r="D51" i="84" s="1"/>
  <c r="D52" i="84" s="1"/>
  <c r="D53" i="84" s="1"/>
  <c r="D54" i="84" s="1"/>
  <c r="D55" i="84" s="1"/>
  <c r="D56" i="84" s="1"/>
  <c r="D57" i="84" s="1"/>
  <c r="C21" i="146"/>
  <c r="I87" i="82" l="1"/>
  <c r="C29" i="70"/>
  <c r="C32" i="70" s="1"/>
  <c r="C26" i="146"/>
  <c r="G11" i="69" l="1"/>
  <c r="G15" i="69" s="1"/>
  <c r="E71" i="113" l="1"/>
  <c r="E74" i="113" s="1"/>
  <c r="C29" i="146"/>
  <c r="C72" i="146"/>
  <c r="C76" i="146"/>
  <c r="C13" i="146" s="1"/>
  <c r="C78" i="146"/>
  <c r="C15" i="146" l="1"/>
  <c r="E85" i="113" s="1"/>
  <c r="C77" i="146"/>
  <c r="C14" i="146" s="1"/>
  <c r="E83" i="113" s="1"/>
  <c r="E87" i="113" l="1"/>
  <c r="C79" i="146"/>
  <c r="C16" i="146" l="1"/>
  <c r="E47" i="113" s="1"/>
  <c r="C32" i="146"/>
  <c r="E67" i="113" l="1"/>
  <c r="E18" i="113" s="1"/>
  <c r="E52" i="113"/>
  <c r="E12" i="113" s="1"/>
  <c r="E62" i="113"/>
  <c r="E16" i="113" s="1"/>
  <c r="C36" i="146"/>
  <c r="G88" i="82" s="1"/>
  <c r="E57" i="113"/>
  <c r="E14" i="113" s="1"/>
  <c r="G99" i="82" l="1"/>
  <c r="G91" i="82"/>
  <c r="G100" i="82" s="1"/>
  <c r="G103" i="82" l="1"/>
  <c r="G106" i="82" s="1"/>
  <c r="G110" i="82" l="1"/>
  <c r="E19" i="111" l="1"/>
  <c r="E21" i="111" s="1"/>
  <c r="E23" i="111" s="1"/>
  <c r="E25" i="111" s="1"/>
  <c r="E27" i="111" s="1"/>
  <c r="G16" i="114"/>
  <c r="G18" i="114" s="1"/>
  <c r="G42" i="114" s="1"/>
  <c r="E76" i="113"/>
  <c r="E78" i="113" l="1"/>
  <c r="E80" i="113" s="1"/>
  <c r="E20" i="113" s="1"/>
  <c r="E89" i="113"/>
  <c r="E91" i="113" s="1"/>
  <c r="E95" i="113" s="1"/>
  <c r="E97" i="113" s="1"/>
  <c r="E22" i="113" l="1"/>
  <c r="E24" i="113" s="1"/>
  <c r="C11" i="112"/>
  <c r="C34" i="112" s="1"/>
  <c r="E26" i="113" l="1"/>
  <c r="E28" i="113" s="1"/>
  <c r="E33" i="113" s="1"/>
  <c r="E35" i="113" s="1"/>
  <c r="C13" i="112" s="1"/>
  <c r="C36" i="112" l="1"/>
  <c r="C15" i="112" l="1"/>
  <c r="C38" i="112" s="1"/>
  <c r="C17" i="112" l="1"/>
  <c r="C40" i="112"/>
  <c r="D24" i="156" s="1"/>
  <c r="D29" i="156" l="1"/>
  <c r="D26" i="156"/>
  <c r="D27" i="156"/>
  <c r="D25" i="156"/>
  <c r="D28" i="156"/>
  <c r="D30" i="156"/>
  <c r="D31" i="156" l="1"/>
  <c r="F31" i="156"/>
  <c r="H25" i="156" l="1"/>
  <c r="I25" i="156" s="1"/>
  <c r="G31" i="156"/>
  <c r="H24" i="156"/>
  <c r="I24" i="156" s="1"/>
  <c r="D16" i="159" l="1"/>
  <c r="E16" i="159"/>
  <c r="H23" i="156"/>
  <c r="I23" i="156" s="1"/>
  <c r="H22" i="156"/>
  <c r="I22" i="156" s="1"/>
  <c r="H30" i="156"/>
  <c r="I30" i="156" s="1"/>
  <c r="H27" i="156"/>
  <c r="I27" i="156" s="1"/>
  <c r="H21" i="156"/>
  <c r="I21" i="156" s="1"/>
  <c r="H26" i="156"/>
  <c r="I26" i="156" s="1"/>
  <c r="E31" i="156"/>
  <c r="H29" i="156"/>
  <c r="I29" i="156" s="1"/>
  <c r="H20" i="156"/>
  <c r="I20" i="156" s="1"/>
  <c r="H19" i="156"/>
  <c r="I19" i="156" s="1"/>
  <c r="K19" i="156" s="1"/>
  <c r="L19" i="156" l="1"/>
  <c r="M19" i="156" s="1"/>
  <c r="K20" i="156" s="1"/>
  <c r="H28" i="156"/>
  <c r="I28" i="156" s="1"/>
  <c r="I31" i="156" s="1"/>
  <c r="H31" i="156" l="1"/>
  <c r="L20" i="156"/>
  <c r="M20" i="156" l="1"/>
  <c r="K21" i="156" l="1"/>
  <c r="L21" i="156" s="1"/>
  <c r="M21" i="156" l="1"/>
  <c r="K22" i="156" l="1"/>
  <c r="L22" i="156" s="1"/>
  <c r="M22" i="156" l="1"/>
  <c r="K23" i="156" l="1"/>
  <c r="L23" i="156" s="1"/>
  <c r="M23" i="156" l="1"/>
  <c r="K24" i="156" l="1"/>
  <c r="L24" i="156" l="1"/>
  <c r="M24" i="156" s="1"/>
  <c r="K25" i="156" l="1"/>
  <c r="L25" i="156" s="1"/>
  <c r="M25" i="156" l="1"/>
  <c r="K26" i="156" l="1"/>
  <c r="L26" i="156" s="1"/>
  <c r="M26" i="156" l="1"/>
  <c r="K27" i="156" l="1"/>
  <c r="L27" i="156" l="1"/>
  <c r="M27" i="156" s="1"/>
  <c r="K28" i="156" l="1"/>
  <c r="L28" i="156" l="1"/>
  <c r="M28" i="156" s="1"/>
  <c r="K29" i="156" l="1"/>
  <c r="L29" i="156" s="1"/>
  <c r="M29" i="156" l="1"/>
  <c r="K30" i="156" l="1"/>
  <c r="L30" i="156" s="1"/>
  <c r="L31" i="156" s="1"/>
  <c r="M30" i="156" l="1"/>
  <c r="C19" i="112" s="1"/>
  <c r="C23" i="112" l="1"/>
  <c r="C27" i="112" s="1"/>
  <c r="C42" i="112"/>
  <c r="C48" i="112" s="1"/>
  <c r="C52" i="112" s="1"/>
</calcChain>
</file>

<file path=xl/sharedStrings.xml><?xml version="1.0" encoding="utf-8"?>
<sst xmlns="http://schemas.openxmlformats.org/spreadsheetml/2006/main" count="2451" uniqueCount="1036">
  <si>
    <t>SAN DIEGO GAS AND ELECTRIC COMPANY</t>
  </si>
  <si>
    <t>Cost of Plant</t>
  </si>
  <si>
    <t>($1,000)</t>
  </si>
  <si>
    <t>Line</t>
  </si>
  <si>
    <t>(a)</t>
  </si>
  <si>
    <t>(b)</t>
  </si>
  <si>
    <t>(c) = [(a)+(b)]/2</t>
  </si>
  <si>
    <t>Average Balance</t>
  </si>
  <si>
    <t>Reference</t>
  </si>
  <si>
    <t xml:space="preserve"> </t>
  </si>
  <si>
    <t xml:space="preserve">     Total Plant in Service </t>
  </si>
  <si>
    <t>Transmission Wages and Salaries Allocation Factor</t>
  </si>
  <si>
    <t>Transmission Related Electric Miscellaneous Intangible Plant</t>
  </si>
  <si>
    <t>Transmission Related General Plant</t>
  </si>
  <si>
    <t xml:space="preserve">Transmission Related Common Plant </t>
  </si>
  <si>
    <t xml:space="preserve">     Transmission Related Total Plant in Service </t>
  </si>
  <si>
    <t>Used to allocate all elements of working capital, other than working cash.</t>
  </si>
  <si>
    <t>SAN DIEGO GAS &amp; ELECTRIC COMPANY</t>
  </si>
  <si>
    <t>STATEMENT AD</t>
  </si>
  <si>
    <t>COST OF PLANT</t>
  </si>
  <si>
    <t>ELECTRIC MISCELLANEOUS INTANGIBLE PLANT</t>
  </si>
  <si>
    <t>Adjusted FERC</t>
  </si>
  <si>
    <t>Month</t>
  </si>
  <si>
    <t>Intangible Plant</t>
  </si>
  <si>
    <t>No.</t>
  </si>
  <si>
    <t>Balance</t>
  </si>
  <si>
    <t>Beginning and End Period Average</t>
  </si>
  <si>
    <t>STEAM PRODUCTION</t>
  </si>
  <si>
    <t>(1)</t>
  </si>
  <si>
    <t>(2)</t>
  </si>
  <si>
    <t>Total</t>
  </si>
  <si>
    <t>Steam</t>
  </si>
  <si>
    <t>Production</t>
  </si>
  <si>
    <t>Ratemaking</t>
  </si>
  <si>
    <t>Per Book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</si>
  <si>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</si>
  <si>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</si>
  <si>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</si>
  <si>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</si>
  <si>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</si>
  <si>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</si>
  <si>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</si>
  <si>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</si>
  <si>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</si>
  <si>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</si>
  <si>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Total 13 Months</t>
  </si>
  <si>
    <t>13-Month Average Balance</t>
  </si>
  <si>
    <t>NUCLEAR PRODUCTION</t>
  </si>
  <si>
    <t>Nuclear</t>
  </si>
  <si>
    <t>Adjusted Book</t>
  </si>
  <si>
    <t>HYDRAULIC PRODUCTION PLANT</t>
  </si>
  <si>
    <t>Hydraulic</t>
  </si>
  <si>
    <t>OTHER PRODUCTION</t>
  </si>
  <si>
    <t>Other</t>
  </si>
  <si>
    <t>DISTRIBUTION PLANT</t>
  </si>
  <si>
    <t>Distribution</t>
  </si>
  <si>
    <t>Plant</t>
  </si>
  <si>
    <t>TRANSMISSION PLANT</t>
  </si>
  <si>
    <t>Transmission</t>
  </si>
  <si>
    <t>TRANSMISSION FUNCTIONALIZATION STUDY</t>
  </si>
  <si>
    <t>DERIVATION OF TRANSMISSION RELATED PLANT DOLLARS</t>
  </si>
  <si>
    <t>(3)</t>
  </si>
  <si>
    <t>(4)</t>
  </si>
  <si>
    <t>(5)</t>
  </si>
  <si>
    <t>(6)</t>
  </si>
  <si>
    <t>(7)</t>
  </si>
  <si>
    <t>(8)</t>
  </si>
  <si>
    <t>Generation</t>
  </si>
  <si>
    <t>Account 101</t>
  </si>
  <si>
    <t>Plant Reclass</t>
  </si>
  <si>
    <t>Account</t>
  </si>
  <si>
    <t>Description</t>
  </si>
  <si>
    <t>as Transmission</t>
  </si>
  <si>
    <t>to Transmission</t>
  </si>
  <si>
    <t>Steam Prod.</t>
  </si>
  <si>
    <t>Other Prod.</t>
  </si>
  <si>
    <t>as Distribution</t>
  </si>
  <si>
    <t>SUM 1:7</t>
  </si>
  <si>
    <t>Production Related to Trans</t>
  </si>
  <si>
    <t>Intangibles</t>
  </si>
  <si>
    <t>Land</t>
  </si>
  <si>
    <t>Land &amp; Land Rights</t>
  </si>
  <si>
    <t>Structures &amp; Improvements</t>
  </si>
  <si>
    <t>TOTAL</t>
  </si>
  <si>
    <t>TRANSMISSION RELATED</t>
  </si>
  <si>
    <t>Station Equipment</t>
  </si>
  <si>
    <t>Towers and Fixtures</t>
  </si>
  <si>
    <t>Poles and Fixtures</t>
  </si>
  <si>
    <t>OH Conductors and Device</t>
  </si>
  <si>
    <t>Underground Conduit</t>
  </si>
  <si>
    <t>UG Conductors &amp; Devices</t>
  </si>
  <si>
    <t>Roads &amp; Trails</t>
  </si>
  <si>
    <t>GRAND TOTAL RECLASS TRANS PLANT</t>
  </si>
  <si>
    <t>GENERAL PLANT</t>
  </si>
  <si>
    <t>General Plant</t>
  </si>
  <si>
    <t>COMMON PLANT</t>
  </si>
  <si>
    <t>The depreciation reserve for Electric Miscellaneous Intangible, General and Common plant is derived based on a simple average of beginning and end of year balances.</t>
  </si>
  <si>
    <t xml:space="preserve">     Total Transmission Related Depreciation Reserve</t>
  </si>
  <si>
    <t>Transmission Related Common Plant Depreciation Reserve</t>
  </si>
  <si>
    <t>Transmission Related General Plant Depreciation Reserve</t>
  </si>
  <si>
    <t>Transmission Related Electric Misc. Intangible Plant Amortization Reserve</t>
  </si>
  <si>
    <t>Accumulated Depreciation and Amortization</t>
  </si>
  <si>
    <t>Reserves</t>
  </si>
  <si>
    <t>ACCUMULATED DEPRECIATION AND AMORTIZATION</t>
  </si>
  <si>
    <t>STATEMENT AE</t>
  </si>
  <si>
    <t>as Nuclear</t>
  </si>
  <si>
    <t>as Other Prod.</t>
  </si>
  <si>
    <t>as Steam Prod.</t>
  </si>
  <si>
    <t>Account 108</t>
  </si>
  <si>
    <t>Reserves Reclass</t>
  </si>
  <si>
    <t xml:space="preserve">DERIVATION OF TRANSMISSION RELATED </t>
  </si>
  <si>
    <t>Intangible Reserve</t>
  </si>
  <si>
    <t>General Reserve</t>
  </si>
  <si>
    <t>Deferred Credits</t>
  </si>
  <si>
    <t>Transmission Plant Abandoned ADIT</t>
  </si>
  <si>
    <t>Specified Plant Account (Other than Plant in Service) and Deferred Debits</t>
  </si>
  <si>
    <t>The balances for Transmission Plant Held for Future Use are derived based on a 13-month average balance.</t>
  </si>
  <si>
    <t>STATEMENT AG</t>
  </si>
  <si>
    <t>SPECIFIED PLANT ACCOUNTS (OTHER THAN PLANT IN SERVICE)</t>
  </si>
  <si>
    <t>AND DEFERRED DEBITS</t>
  </si>
  <si>
    <t>Transmission Plant</t>
  </si>
  <si>
    <t>13-Month Average</t>
  </si>
  <si>
    <t>Operation and Maintenance Expenses</t>
  </si>
  <si>
    <t>Amounts</t>
  </si>
  <si>
    <t>Derivation of Transmission Plant Property Insurance Allocation Factor:</t>
  </si>
  <si>
    <t>Shall be Zero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</si>
  <si>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</si>
  <si>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</si>
  <si>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</si>
  <si>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</si>
  <si>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</si>
  <si>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</si>
  <si>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</si>
  <si>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</si>
  <si>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t>Property Insurance Allocated to Transmission, General, and Common Plant</t>
  </si>
  <si>
    <t>Electric Transmission O&amp;M Expenses</t>
  </si>
  <si>
    <t>(c) = (a) - (b)</t>
  </si>
  <si>
    <t>FERC</t>
  </si>
  <si>
    <t>Excluded</t>
  </si>
  <si>
    <t>Acct</t>
  </si>
  <si>
    <t>Per Books</t>
  </si>
  <si>
    <t>Expenses</t>
  </si>
  <si>
    <t>Adjusted</t>
  </si>
  <si>
    <t>Electric Transmission Operation</t>
  </si>
  <si>
    <t>Operation Supervision and Engineering</t>
  </si>
  <si>
    <t>Load Dispatch - Reliability</t>
  </si>
  <si>
    <t>Load Dispatch - Monitor and Operate Transmission System</t>
  </si>
  <si>
    <t>Load Dispatch - Transmission Service and Scheduling</t>
  </si>
  <si>
    <t xml:space="preserve">Scheduling, System Control and Dispatch Services </t>
  </si>
  <si>
    <t>Reliability, Planning and Standards Development</t>
  </si>
  <si>
    <t>Transmission Service Studies</t>
  </si>
  <si>
    <t>Generation Interconnection Studies</t>
  </si>
  <si>
    <t xml:space="preserve">Reliability, Planning and Standards Development Services </t>
  </si>
  <si>
    <t>Underground Line Expenses</t>
  </si>
  <si>
    <t>Transmission of Electricity by Others</t>
  </si>
  <si>
    <t>Misc. Transmission Expenses</t>
  </si>
  <si>
    <t>Rents</t>
  </si>
  <si>
    <t>Electric Transmission Maintenance</t>
  </si>
  <si>
    <t>Maintenance Supervision and Engineering</t>
  </si>
  <si>
    <t>Maintenance of Structures</t>
  </si>
  <si>
    <t>Maintenance of Computer Hardware</t>
  </si>
  <si>
    <t>Maintenance of Computer Software</t>
  </si>
  <si>
    <t>Maintenance of Communication Equipment</t>
  </si>
  <si>
    <t>Maintenance of Misc. Regional Transmission Plant</t>
  </si>
  <si>
    <t>Maintenance of Misc. Transmission Plant</t>
  </si>
  <si>
    <t xml:space="preserve">  Total Electric Transmission Maintenance</t>
  </si>
  <si>
    <t>Total Electric Transmission O&amp;M Expenses</t>
  </si>
  <si>
    <t>Excluded Expenses (recovery method in parentheses)</t>
  </si>
  <si>
    <t>Scheduling, System Control and Dispatch Services (ERRA)</t>
  </si>
  <si>
    <t>Reliability, Planning and Standards Development Services (ERRA)</t>
  </si>
  <si>
    <t>Transmission of Electricity by Others (ERRA)</t>
  </si>
  <si>
    <t>Misc. Transmission Expenses:</t>
  </si>
  <si>
    <t xml:space="preserve">     Century Energy Systems Balancing Account (CES-21BA)</t>
  </si>
  <si>
    <t xml:space="preserve">     Hazardous Substance Cleanup Cost Memo Account (HSCCMA)</t>
  </si>
  <si>
    <t xml:space="preserve">     ISO Grid Management Costs (ERRA)</t>
  </si>
  <si>
    <t xml:space="preserve">     Reliability Services (RS rates)</t>
  </si>
  <si>
    <t xml:space="preserve">     Other (TRBAA, TACBAA) </t>
  </si>
  <si>
    <t>Total Excluded Expenses</t>
  </si>
  <si>
    <t>Administrative &amp; General Expenses</t>
  </si>
  <si>
    <t>Administrative &amp; General</t>
  </si>
  <si>
    <t>A&amp;G Salaries</t>
  </si>
  <si>
    <t>Less: Administrative Expenses Transferred-Credit</t>
  </si>
  <si>
    <t>Employee Pensions &amp; Benefits</t>
  </si>
  <si>
    <t xml:space="preserve">Franchise Requirements </t>
  </si>
  <si>
    <t>Less: Duplicate Charges (Company Energy Use)</t>
  </si>
  <si>
    <t>General Advertising Expenses</t>
  </si>
  <si>
    <t>Maintenance of General Plant</t>
  </si>
  <si>
    <t>Total Administrative &amp; General Expenses</t>
  </si>
  <si>
    <t>Excluded Expenses:</t>
  </si>
  <si>
    <t>CPUC energy efficiency programs</t>
  </si>
  <si>
    <t>CPUC Intervenor Funding Expense - Transmission</t>
  </si>
  <si>
    <t>CPUC Intervenor Funding Expense - Distribution</t>
  </si>
  <si>
    <t xml:space="preserve">CPUC reimbursement fees  </t>
  </si>
  <si>
    <t>Litigation expenses - Litigation Cost Memorandum Account (LCMA)</t>
  </si>
  <si>
    <t xml:space="preserve">CPUC energy efficiency programs  </t>
  </si>
  <si>
    <t>Abandoned Projects</t>
  </si>
  <si>
    <t xml:space="preserve">Hazardous Substances-Hazardous Substance Cleanup Cost Account </t>
  </si>
  <si>
    <t>Production Wages &amp; Salaries (Includes Steam &amp; Other Power Supply)</t>
  </si>
  <si>
    <t>Transmission Wages &amp; Salaries</t>
  </si>
  <si>
    <t>Distribution Wages &amp; Salaries</t>
  </si>
  <si>
    <t>Customer Accounts Wages &amp; Salaries</t>
  </si>
  <si>
    <t>Customer Services and Informational Wages &amp; Salaries</t>
  </si>
  <si>
    <t>Sales Wages &amp; Salaries</t>
  </si>
  <si>
    <t>STATEMENT AJ</t>
  </si>
  <si>
    <t>Expense</t>
  </si>
  <si>
    <t>DEPRECIATION AND AMORTIZATION EXPENSE</t>
  </si>
  <si>
    <t>Removal</t>
  </si>
  <si>
    <t>General</t>
  </si>
  <si>
    <t>Taxes Other Than Income Taxes</t>
  </si>
  <si>
    <t>Working Capital</t>
  </si>
  <si>
    <t>Transmission Plant Allocation Factor</t>
  </si>
  <si>
    <t>FERC Method = 1/8 of O&amp;M Expense</t>
  </si>
  <si>
    <t>The balances for Materials &amp; Supplies and Prepayments are derived based on a 13-month average balance.</t>
  </si>
  <si>
    <t>STATEMENT AL</t>
  </si>
  <si>
    <t>WORKING CAPITAL</t>
  </si>
  <si>
    <t>ELECTRIC ALLOWABLE PER FERC FORMULA</t>
  </si>
  <si>
    <t>Electric Plant</t>
  </si>
  <si>
    <t>Materials</t>
  </si>
  <si>
    <t>&amp; Supplies</t>
  </si>
  <si>
    <t>Prepayments</t>
  </si>
  <si>
    <t>Federal Tax Adjustments</t>
  </si>
  <si>
    <t>Transmission Related Amortization of Investment Tax Credits</t>
  </si>
  <si>
    <t>Transmission Related Amortization of Excess Deferred Tax Liabilities</t>
  </si>
  <si>
    <t>(c)</t>
  </si>
  <si>
    <t>Statement AV</t>
  </si>
  <si>
    <t>Cost of Capital and Fair Rate of Return</t>
  </si>
  <si>
    <t>Long-Term Debt Component - Denominator:</t>
  </si>
  <si>
    <t>Long-Term Debt Component - Numerator:</t>
  </si>
  <si>
    <t>Cost of Long-Term Debt:</t>
  </si>
  <si>
    <t>Preferred Equity Component:</t>
  </si>
  <si>
    <t>Common Equity Component:</t>
  </si>
  <si>
    <t>(d) = (b) x (c)</t>
  </si>
  <si>
    <t>Cap. Struct.</t>
  </si>
  <si>
    <t>Weighted</t>
  </si>
  <si>
    <t>Weighted Cost of Capital:</t>
  </si>
  <si>
    <t>Ratio</t>
  </si>
  <si>
    <t>Cost of Capital</t>
  </si>
  <si>
    <t>Long-Term Debt</t>
  </si>
  <si>
    <t>Preferred Equity</t>
  </si>
  <si>
    <t>Common Equity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</si>
  <si>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</si>
  <si>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</si>
  <si>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</si>
  <si>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</si>
  <si>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D = Transmission Rate Base</t>
  </si>
  <si>
    <t>Federal Income Tax Rate</t>
  </si>
  <si>
    <t>B. State Income Tax Component:</t>
  </si>
  <si>
    <t>State Income Tax Rate</t>
  </si>
  <si>
    <t>C. Total Federal &amp; State Income Tax Rate: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</si>
  <si>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</si>
  <si>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Cost of</t>
  </si>
  <si>
    <t>Capital</t>
  </si>
  <si>
    <t>Cost of Equity Component (Preferred &amp; Common):</t>
  </si>
  <si>
    <t>Amount is based upon December 31 balances.</t>
  </si>
  <si>
    <t>Federal Income Tax Expense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</si>
  <si>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</si>
  <si>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</si>
  <si>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</si>
  <si>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>State Income Tax Expense</t>
  </si>
  <si>
    <t>D. Total Weighted Cost of Capital:</t>
  </si>
  <si>
    <t>Non-Incentive Equity AFUDC Component of Transmission Depreciation Expense</t>
  </si>
  <si>
    <t>Annual Depreciation Rate (30 year Lease)</t>
  </si>
  <si>
    <t>1 / 30 years</t>
  </si>
  <si>
    <t>Annual Book Depreciation on AFUDC Equity</t>
  </si>
  <si>
    <t>Cycle Ending:</t>
  </si>
  <si>
    <t xml:space="preserve">Common Plant Depreciation Expense </t>
  </si>
  <si>
    <t>Total Common Reserves to Electric Per Book</t>
  </si>
  <si>
    <t>Total Common Expense to Electric Per Book</t>
  </si>
  <si>
    <t>Electric</t>
  </si>
  <si>
    <t>Total Direct Maintenance Cost</t>
  </si>
  <si>
    <t>Total Transmission Plant Cost Average Balance</t>
  </si>
  <si>
    <t xml:space="preserve">Total Direct Maintenance Cost  </t>
  </si>
  <si>
    <t>Citizens' Share of Direct Maintenance</t>
  </si>
  <si>
    <t>Transmission Revenues Data to Reflect Changed Rates</t>
  </si>
  <si>
    <t>Section 1 - Direct Maintenance Expense Cost Component</t>
  </si>
  <si>
    <t>Section 2 - Non-Direct Expense Cost Component</t>
  </si>
  <si>
    <t>Section 3 - Cost Component Containing Other Specific Expenses</t>
  </si>
  <si>
    <t>Section 5 - Interest True-Up Adjustment Cost Component</t>
  </si>
  <si>
    <t>A. Non-Direct Annual Carrying Charge Percentages</t>
  </si>
  <si>
    <t>Lease Agreement</t>
  </si>
  <si>
    <t xml:space="preserve">     Transmission Related A&amp;G Carrying Charge Percentage</t>
  </si>
  <si>
    <t xml:space="preserve">     Transmission Related Payroll Tax Carrying Charge Percentage</t>
  </si>
  <si>
    <t>Citizens Financed Transmission Projects: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</si>
  <si>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</si>
  <si>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</si>
  <si>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</si>
  <si>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A. Direct Assignment of Accumulated Deferred Income Taxes (ADIT) to Citizens:</t>
  </si>
  <si>
    <t xml:space="preserve">     Total</t>
  </si>
  <si>
    <t xml:space="preserve">Annual Equity AFUDC Allocated to Citizens   </t>
  </si>
  <si>
    <t>Costs</t>
  </si>
  <si>
    <t>FERC Account</t>
  </si>
  <si>
    <t xml:space="preserve">     Total Other Specific Expenses</t>
  </si>
  <si>
    <t>Total Adjusted Electric Transmission O&amp;M Expenses</t>
  </si>
  <si>
    <t>Total Adjusted Administrative &amp; General Expenses</t>
  </si>
  <si>
    <t>Citizens With Bonus D</t>
  </si>
  <si>
    <t>Citizens Without Bonus D</t>
  </si>
  <si>
    <t>Injuries &amp; Damages</t>
  </si>
  <si>
    <t>Statement AI - Workpapers</t>
  </si>
  <si>
    <t>Wages and Salaries</t>
  </si>
  <si>
    <t>Cycle Number:</t>
  </si>
  <si>
    <t>TO Number:</t>
  </si>
  <si>
    <t>Federal and State Combined Tax Rate</t>
  </si>
  <si>
    <t>Tax Cost of Non-Deductibility of AFUDC Equity</t>
  </si>
  <si>
    <t>Gross-up Factor</t>
  </si>
  <si>
    <t>Revenue Requirement</t>
  </si>
  <si>
    <t xml:space="preserve">Derivation of End Use Transmission Rate Base </t>
  </si>
  <si>
    <t>A. Derivation of Transmission Rate Base:</t>
  </si>
  <si>
    <t>Net Transmission Plant: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</si>
  <si>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</si>
  <si>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</si>
  <si>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</si>
  <si>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</si>
  <si>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</si>
  <si>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</si>
  <si>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</si>
  <si>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</si>
  <si>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</si>
  <si>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</si>
  <si>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</si>
  <si>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</si>
  <si>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</si>
  <si>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</si>
  <si>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>Other Regulatory Assets/Liabilities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</si>
  <si>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</si>
  <si>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</si>
  <si>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</si>
  <si>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</si>
  <si>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</si>
  <si>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</si>
  <si>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</si>
  <si>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t>560100E</t>
  </si>
  <si>
    <t>560200E</t>
  </si>
  <si>
    <t>561100E</t>
  </si>
  <si>
    <t>561200E</t>
  </si>
  <si>
    <t>561300E</t>
  </si>
  <si>
    <t>561400E</t>
  </si>
  <si>
    <t>561500E</t>
  </si>
  <si>
    <t>561600E</t>
  </si>
  <si>
    <t>561700E</t>
  </si>
  <si>
    <t>561800E</t>
  </si>
  <si>
    <t>562000E</t>
  </si>
  <si>
    <t>562100E</t>
  </si>
  <si>
    <t>563100E</t>
  </si>
  <si>
    <t>563200E</t>
  </si>
  <si>
    <t>564000E</t>
  </si>
  <si>
    <t>566000E</t>
  </si>
  <si>
    <t>567000E</t>
  </si>
  <si>
    <t>568100E</t>
  </si>
  <si>
    <t>568200E</t>
  </si>
  <si>
    <t>569000E</t>
  </si>
  <si>
    <t>569100E</t>
  </si>
  <si>
    <t>569200E</t>
  </si>
  <si>
    <t>569400E</t>
  </si>
  <si>
    <t>570000E</t>
  </si>
  <si>
    <t>570100E</t>
  </si>
  <si>
    <t>570121E</t>
  </si>
  <si>
    <t>570122E</t>
  </si>
  <si>
    <t>570200E</t>
  </si>
  <si>
    <t>570600E</t>
  </si>
  <si>
    <t>570700E</t>
  </si>
  <si>
    <t>571000E</t>
  </si>
  <si>
    <t>571100E</t>
  </si>
  <si>
    <t>571120E</t>
  </si>
  <si>
    <t>571200E</t>
  </si>
  <si>
    <t>571310E</t>
  </si>
  <si>
    <t>571700E</t>
  </si>
  <si>
    <t>571800E</t>
  </si>
  <si>
    <t>571960E</t>
  </si>
  <si>
    <t>572000E</t>
  </si>
  <si>
    <t>573000E</t>
  </si>
  <si>
    <t xml:space="preserve">FERC </t>
  </si>
  <si>
    <t>OPERATION SUPERVISION</t>
  </si>
  <si>
    <t>OPERATION ENGINEERING</t>
  </si>
  <si>
    <t>LOAD DISPATCHING - RELIABILITY</t>
  </si>
  <si>
    <t>LOAD DISPATCHING - MONITOR &amp; OPERATE SYSTEM</t>
  </si>
  <si>
    <t>LOAD DISPATCHING-TRANSMISSION SERVICE &amp; SCHEDULING</t>
  </si>
  <si>
    <t>SCHEDULING SYSTEM CONTROL &amp; DISPATCH SERVICES</t>
  </si>
  <si>
    <t>RELIABILITY, PLANNING &amp; STANDARDS DEVELOPMENT</t>
  </si>
  <si>
    <t>TRANSMISSION SERVICE STUDIES</t>
  </si>
  <si>
    <t>GENERATION INTERCONNECTION STUDIES</t>
  </si>
  <si>
    <t>RELIABILITY, PLANNING &amp; STANDARDS DEVELOPMENT SERVICES</t>
  </si>
  <si>
    <t>STATION EXPENSES</t>
  </si>
  <si>
    <t>STATION OPERATION EXPENSE</t>
  </si>
  <si>
    <t>OPERATION OVERHEAD LINES</t>
  </si>
  <si>
    <t>ENCROACHMENTS OVERHEAD R/W</t>
  </si>
  <si>
    <t>UNDERGROUND LINE EXPENSES</t>
  </si>
  <si>
    <t>MISCELLANEOUS TRANSMISSION EXPENSES</t>
  </si>
  <si>
    <t>RENTS</t>
  </si>
  <si>
    <t>MAINTENANCE SUPERVISION</t>
  </si>
  <si>
    <t>MAINTENANCE ENGINEERING</t>
  </si>
  <si>
    <t>MAINTENANCE OF STRUCTURES</t>
  </si>
  <si>
    <t>MAINTENANCE OF COMPUTER HARDWARE</t>
  </si>
  <si>
    <t>MAINTENANCE OF COMPUTER SOFTWARE</t>
  </si>
  <si>
    <t>MAINTENANCE OF MISC REGIONAL TRANSMISSION PLANT</t>
  </si>
  <si>
    <t>MAINTENANCE OF STATION EQUIPMENT</t>
  </si>
  <si>
    <t>MAINTENANCE OF  STATION EQUIPMENT GENERAL</t>
  </si>
  <si>
    <t>RTU SUPERVISORY EQUIPMENT</t>
  </si>
  <si>
    <t>TELEMETER SYSTEM MAINTENANCE</t>
  </si>
  <si>
    <t>MAINTENANCE STATION EQUIPMENT CLEAN TREAT</t>
  </si>
  <si>
    <t>MAINTENANCE STATION EQUIPMENT</t>
  </si>
  <si>
    <t>SAN ONOFRE SUBSTATION</t>
  </si>
  <si>
    <t>MAINTENANCE OF OVERHEAD LINES</t>
  </si>
  <si>
    <t>MAINTENANCE OF OVERHEAD LINES GENERAL</t>
  </si>
  <si>
    <t>TRAINING IN HOTSTICK MAINTENANCE</t>
  </si>
  <si>
    <t>MAINTENANCE OF OVERHEAD LINES - TREE TRIMMING</t>
  </si>
  <si>
    <t>MAINTENANCE OF OVERHEAD INSULATOR WASHING</t>
  </si>
  <si>
    <t>ACCESS &amp; PATROL ROAD MAINTENANCE</t>
  </si>
  <si>
    <t>CONSTRUCTION RELATED EXPENSES</t>
  </si>
  <si>
    <t>OH PREV MAINT - FOLLOW-UP</t>
  </si>
  <si>
    <t>MAINTENANCE OF UNDERGROUND LINES</t>
  </si>
  <si>
    <t>MAINTENANCE OF MISCELLANEOUS TRANSMISSION</t>
  </si>
  <si>
    <t>8.84%</t>
  </si>
  <si>
    <r>
      <t xml:space="preserve">Transmission Plant Held for Future Use </t>
    </r>
    <r>
      <rPr>
        <b/>
        <vertAlign val="superscript"/>
        <sz val="12"/>
        <rFont val="Times New Roman"/>
        <family val="1"/>
      </rPr>
      <t>1</t>
    </r>
  </si>
  <si>
    <t>RMS Linking</t>
  </si>
  <si>
    <r>
      <t>Ratemaking</t>
    </r>
    <r>
      <rPr>
        <b/>
        <vertAlign val="superscript"/>
        <sz val="12"/>
        <rFont val="Times New Roman"/>
        <family val="1"/>
      </rPr>
      <t xml:space="preserve"> 1</t>
    </r>
  </si>
  <si>
    <t>SDG&amp;E Records</t>
  </si>
  <si>
    <t>This column represents the monthly ratemaking plant balances for the base &amp; true-up periods. These plant balances reflect the amounts shifted between functions (Transmission to</t>
  </si>
  <si>
    <t>Distribution, Transmission to Generation, Distribution to Transmission, etc.) as required by FERC Order 888: Seven-Element Adjustment Factor.</t>
  </si>
  <si>
    <t>This column represents the monthly ratemaking depreciation reserve balances for the base &amp; true-up periods. These depreciation reserve balances reflect the amounts shifted between</t>
  </si>
  <si>
    <t>functions (Transmission to Distribution, Transmission to Generation, Distribution to Transmission, etc.) as required by FERC Order 888: Seven-Element Adjustment Factor.</t>
  </si>
  <si>
    <t>These represent plant transfers to comply with FERC Order No. 888 and reflect the adjusted plant accumulated depreciation and amortization balances.</t>
  </si>
  <si>
    <t>Plant Held for</t>
  </si>
  <si>
    <t>Future Use</t>
  </si>
  <si>
    <t>Form 1; Page 450.1; Sch. Pg. 214; Line 46; Col. d</t>
  </si>
  <si>
    <t>Form 1; Page 321; Line 83</t>
  </si>
  <si>
    <t>Form 1; Page 321; Line 85</t>
  </si>
  <si>
    <t>Form 1; Page 321; Line 86</t>
  </si>
  <si>
    <t>Form 1; Page 321; Line 87</t>
  </si>
  <si>
    <t>Form 1; Page 321; Line 88</t>
  </si>
  <si>
    <t>Form 1; Page 321; Line 89</t>
  </si>
  <si>
    <t>Form 1; Page 321; Line 90</t>
  </si>
  <si>
    <t>Form 1; Page 321; Line 91</t>
  </si>
  <si>
    <t>Form 1; Page 321; Line 92</t>
  </si>
  <si>
    <t>Form 1; Page 321; Line 93</t>
  </si>
  <si>
    <t>Form 1; Page 321; Line 94</t>
  </si>
  <si>
    <t>Form 1; Page 321; Line 95</t>
  </si>
  <si>
    <t>Form 1; Page 321; Line 96</t>
  </si>
  <si>
    <t>Form 1; Page 321; Line 97</t>
  </si>
  <si>
    <t>Form 1; Page 321; Line 98</t>
  </si>
  <si>
    <t xml:space="preserve">     Total Electric Transmission Operation </t>
  </si>
  <si>
    <t>Form 1; Page 321; Line 101</t>
  </si>
  <si>
    <t>Form 1; Page 321; Line 102</t>
  </si>
  <si>
    <t>Form 1; Page 321; Line 103</t>
  </si>
  <si>
    <t>Form 1; Page 321; Line 104</t>
  </si>
  <si>
    <t>Form 1; Page 321; Line 105</t>
  </si>
  <si>
    <t>Form 1; Page 321; Line 106</t>
  </si>
  <si>
    <t>Form 1; Page 321; Line 107</t>
  </si>
  <si>
    <t>Form 1; Page 321; Line 108</t>
  </si>
  <si>
    <t>Form 1; Page 321; Line 109</t>
  </si>
  <si>
    <t>Form 1; Page 321; Line 110</t>
  </si>
  <si>
    <t xml:space="preserve">Overhead Line Expenses  </t>
  </si>
  <si>
    <r>
      <t xml:space="preserve">Station Expenses </t>
    </r>
    <r>
      <rPr>
        <b/>
        <vertAlign val="superscript"/>
        <sz val="12"/>
        <rFont val="Times New Roman"/>
        <family val="1"/>
      </rPr>
      <t>1</t>
    </r>
  </si>
  <si>
    <r>
      <t xml:space="preserve">Maintenance of Station Equipment </t>
    </r>
    <r>
      <rPr>
        <b/>
        <vertAlign val="superscript"/>
        <sz val="12"/>
        <rFont val="Times New Roman"/>
        <family val="1"/>
      </rPr>
      <t>1</t>
    </r>
  </si>
  <si>
    <t>Form 1; Page 323; Line 181</t>
  </si>
  <si>
    <t>Form 1; Page 323; Line 182</t>
  </si>
  <si>
    <t>Form 1; Page 323; Line 183</t>
  </si>
  <si>
    <t>Form 1; Page 323; Line 184</t>
  </si>
  <si>
    <t>Form 1; Page 323; Line 185</t>
  </si>
  <si>
    <t>Form 1; Page 323; Line 186</t>
  </si>
  <si>
    <t>Form 1; Page 323; Line 187</t>
  </si>
  <si>
    <t>Form 1; Page 323; Line 188</t>
  </si>
  <si>
    <t>Form 1; Page 323; Line 189</t>
  </si>
  <si>
    <t>Form 1; Page 323; Line 190</t>
  </si>
  <si>
    <t>Form 1; Page 323; Line 191</t>
  </si>
  <si>
    <t>Form 1; Page 323; Line 192</t>
  </si>
  <si>
    <t>Form 1; Page 323; Line 193</t>
  </si>
  <si>
    <t>Form 1; Page 323; Line 196</t>
  </si>
  <si>
    <t xml:space="preserve">Regulatory Commission Expenses  </t>
  </si>
  <si>
    <t>Form 1; Page 336; Line 10; Col. f</t>
  </si>
  <si>
    <t>Form 1; Page 450.1; Sch. Pg. 227; Line 12; Col. c</t>
  </si>
  <si>
    <t>ACCOUNT 154 PLANT MATERIALS AND OPERATING SUPPLIES</t>
  </si>
  <si>
    <t>ACCOUNT 165 PREPAYMENTS  -  ELECTRIC</t>
  </si>
  <si>
    <t>FERC Form 1</t>
  </si>
  <si>
    <t>Page; Line; Col.</t>
  </si>
  <si>
    <t>450.1; Sch. Pg. 266; 8; f</t>
  </si>
  <si>
    <t>Working</t>
  </si>
  <si>
    <t>13-Months</t>
  </si>
  <si>
    <t>Cash</t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</si>
  <si>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</si>
  <si>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450.1; Sch. Pg. 227; 12; c</t>
  </si>
  <si>
    <t xml:space="preserve">     Transmission Related Materials and Supplies 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</si>
  <si>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</si>
  <si>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>450.1; Sch. Pg. 110; 57; c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</si>
  <si>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</si>
  <si>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</si>
  <si>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</si>
  <si>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</si>
  <si>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CPUC Intervenor Funding Expense - Transmission</t>
  </si>
  <si>
    <t xml:space="preserve">   One Eighth O&amp;M Rule</t>
  </si>
  <si>
    <t xml:space="preserve">     Transmission Related Cash Working Capital - Retail Customers</t>
  </si>
  <si>
    <r>
      <t xml:space="preserve">Total Property Taxes </t>
    </r>
    <r>
      <rPr>
        <b/>
        <vertAlign val="superscript"/>
        <sz val="12"/>
        <rFont val="Times New Roman"/>
        <family val="1"/>
      </rPr>
      <t>1</t>
    </r>
  </si>
  <si>
    <t>263; 2; i</t>
  </si>
  <si>
    <t>450.1; Sch. Pg. 262; 2; i</t>
  </si>
  <si>
    <t>263; 10, 18, 19, 20;  i</t>
  </si>
  <si>
    <t xml:space="preserve">     Transmission Related Payroll Taxes Expense</t>
  </si>
  <si>
    <t>Depreciation and Amortization Expense</t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</si>
  <si>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2</t>
    </r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</si>
  <si>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1</t>
    </r>
  </si>
  <si>
    <t>The balances for Electric Miscellaneous Intangible, Distribution, General and Common plant are derived based on a simple average balance using beginning and ending year balances.</t>
  </si>
  <si>
    <t>Derivation of Direct Maintenance Expense:</t>
  </si>
  <si>
    <t>Derivation of Non-Direct Transmission Operation and Maintenance Expense:</t>
  </si>
  <si>
    <t>Derivation of Non-Direct Administrative and General Expense:</t>
  </si>
  <si>
    <t>Bonds (Acct 221)</t>
  </si>
  <si>
    <t>112; 18; c</t>
  </si>
  <si>
    <t>Less: Reacquired Bonds (Acct 222)</t>
  </si>
  <si>
    <t>112; 19; c</t>
  </si>
  <si>
    <t>Other Long-Term Debt (Acct 224)</t>
  </si>
  <si>
    <t>112; 21; c</t>
  </si>
  <si>
    <t>Unamortized Premium on Long-Term Debt (Acct 225)</t>
  </si>
  <si>
    <t>112; 22; c</t>
  </si>
  <si>
    <t>Less: Unamortized Discount on Long-Term Debt-Debit (Acct 226)</t>
  </si>
  <si>
    <t>112; 23; c</t>
  </si>
  <si>
    <t xml:space="preserve">     LTD = Long Term Debt</t>
  </si>
  <si>
    <t>Interest on Long-Term Debt (Acct 427)</t>
  </si>
  <si>
    <t>117; 62; c</t>
  </si>
  <si>
    <t>Amort. of Debt Disc. and Expense (Acct 428)</t>
  </si>
  <si>
    <t>117; 63; c</t>
  </si>
  <si>
    <t>Amortization of Loss on Reacquired Debt (Acct 428.1)</t>
  </si>
  <si>
    <t>117; 64; c</t>
  </si>
  <si>
    <t>Less: Amort. of Premium on Debt-Credit (Acct 429)</t>
  </si>
  <si>
    <t>117; 65; c</t>
  </si>
  <si>
    <t>Less: Amortization of Gain on Reacquired Debt-Credit (Acct 429.1)</t>
  </si>
  <si>
    <t>117; 66; c</t>
  </si>
  <si>
    <t xml:space="preserve">     i = LTD interest</t>
  </si>
  <si>
    <t>PF = Preferred Stock (Acct 204)</t>
  </si>
  <si>
    <t>112; 3; c</t>
  </si>
  <si>
    <t>d(pf) = Total Dividends Declared-Preferred Stocks (Acct 437)</t>
  </si>
  <si>
    <t>118; 29; c</t>
  </si>
  <si>
    <t xml:space="preserve">     Cost of Preferred Equity</t>
  </si>
  <si>
    <t>Proprietary Capital</t>
  </si>
  <si>
    <t>112; 16; c</t>
  </si>
  <si>
    <t>Less: Preferred Stock (Acct 204)</t>
  </si>
  <si>
    <t>Less: Unappropriated Undistributed Subsidiary Earnings (Acct 216.1)</t>
  </si>
  <si>
    <t>112; 12; c</t>
  </si>
  <si>
    <t>Accumulated Other Comprehensive Income (Acct 219)</t>
  </si>
  <si>
    <t>112; 15; c</t>
  </si>
  <si>
    <t xml:space="preserve">     CS = Common Stock</t>
  </si>
  <si>
    <t xml:space="preserve">     Total Capital</t>
  </si>
  <si>
    <t xml:space="preserve">     B = Transmission Total Federal Tax Adjustments</t>
  </si>
  <si>
    <t xml:space="preserve">     FT = Federal Income Tax Rate for Rate Effective Period</t>
  </si>
  <si>
    <t>Federal Income Tax    =    (((A) + (C / D)) * FT) - (B / D)</t>
  </si>
  <si>
    <t xml:space="preserve">                                                         (1 - FT)</t>
  </si>
  <si>
    <t xml:space="preserve">     ST = State Income Tax Rate for Rate Effective Period</t>
  </si>
  <si>
    <t>State Income Tax    =    ((A) + (B / C) + Federal Income Tax)*(ST)</t>
  </si>
  <si>
    <t xml:space="preserve">                                                               (1 - ST)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</si>
  <si>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</si>
  <si>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r>
      <t xml:space="preserve">Vintages of Plant </t>
    </r>
    <r>
      <rPr>
        <b/>
        <vertAlign val="superscript"/>
        <sz val="12"/>
        <rFont val="Times New Roman"/>
        <family val="1"/>
      </rPr>
      <t>1</t>
    </r>
  </si>
  <si>
    <t>Citizens' Calculation of Equity AFUDC Component of Transmission Depreciation Expenses</t>
  </si>
  <si>
    <t xml:space="preserve">   350.1 - Land</t>
  </si>
  <si>
    <t xml:space="preserve">   350.2 - Land Rights</t>
  </si>
  <si>
    <t>(c) = (a) x (b)</t>
  </si>
  <si>
    <t>Accumulated Deferred Income Tax Comparison With and Without Bonus Depreciation</t>
  </si>
  <si>
    <t>Total Transmission Plant Accumulated Depreciation Average Balance</t>
  </si>
  <si>
    <t>Add: Citizens Weighted Average Accumulated Depreciation</t>
  </si>
  <si>
    <t>Total Common Plant Per Book</t>
  </si>
  <si>
    <t>Electric Split of Common Utility Plant</t>
  </si>
  <si>
    <t>Total Common Plant to Electric Per Book</t>
  </si>
  <si>
    <t>Total Non-Direct Transmission O&amp;M Expense</t>
  </si>
  <si>
    <t>Adjustments to Per Book Transmission O&amp;M Expense:</t>
  </si>
  <si>
    <t xml:space="preserve">   Other Transmission Non-Direct O&amp;M Exclusion Adjustments </t>
  </si>
  <si>
    <t xml:space="preserve">     Total Non-Direct Adjusted Transmission O&amp;M Expenses </t>
  </si>
  <si>
    <t>Total Non-Direct Administrative &amp; General Expense</t>
  </si>
  <si>
    <t>Adjustments to Per Book A&amp;G Expense:</t>
  </si>
  <si>
    <t>Total Adjusted Non-Direct A&amp;G Expenses Excluding Property Insurance</t>
  </si>
  <si>
    <t xml:space="preserve">     Total Adjusted Non-Direct A&amp;G Expenses Including Property Insurance</t>
  </si>
  <si>
    <t>Transmission Related Non-Direct Administrative &amp; General Expenses</t>
  </si>
  <si>
    <t xml:space="preserve">     Transmission Related Non-Direct A&amp;G Expense Including Property Insurance Expense</t>
  </si>
  <si>
    <t>Less: Property Insurance (Due to different allocation factor)</t>
  </si>
  <si>
    <t>Section 4 - True-Up Adjustment Cost Component (Over)/Undercollection</t>
  </si>
  <si>
    <t>Statement AF is utilized in the derivation of Transmission Rate Base for use in Statement AV.</t>
  </si>
  <si>
    <t>450.1; Sch. Pg. 214; 46; d</t>
  </si>
  <si>
    <t>354; 20; b</t>
  </si>
  <si>
    <t>354; 23; b</t>
  </si>
  <si>
    <t>354; 24; b</t>
  </si>
  <si>
    <t>354; 25; b</t>
  </si>
  <si>
    <t>354; 26; b</t>
  </si>
  <si>
    <t>336; 11; f</t>
  </si>
  <si>
    <t>336; 10; f</t>
  </si>
  <si>
    <t>The amounts stated above are ratemaking utility plant in service and a result of implementing the “Seven-Element Adjustment Factor” which reflects transfers between core electric functional areas.</t>
  </si>
  <si>
    <t>Not affected by the "Seven-Element Adjustment Factor".</t>
  </si>
  <si>
    <t>These represent plant transfers to comply with FERC Order No. 888 and reflect the adjusted Transmission plant balances.</t>
  </si>
  <si>
    <t>The amounts stated above are ratemaking utility plant in service and a result of implementing the "Seven-Element Adjustment Factor" which reflects transfers between core electric functional areas.</t>
  </si>
  <si>
    <t>Property tax expense excludes Citizens property taxes as shown in FERC Form 1; Page 450.1; Sch. Pg. 262; Line 2; Col. i.</t>
  </si>
  <si>
    <t>Payroll tax expense excludes Citzens payroll taxes as shown in FERC Form 1; Page 450.1; Sch. Pg. 262; Line 18; Col. i.</t>
  </si>
  <si>
    <t>One Eighth O&amp;M Rule</t>
  </si>
  <si>
    <t xml:space="preserve">Non-Incentive Equity AFUDC </t>
  </si>
  <si>
    <t xml:space="preserve">Component of Transmission </t>
  </si>
  <si>
    <t xml:space="preserve">     Total Transmission Rate Base</t>
  </si>
  <si>
    <t xml:space="preserve">     Total Working Capital</t>
  </si>
  <si>
    <t>Total Property Taxes Expense</t>
  </si>
  <si>
    <t>SALARIES-MANAGEMENT  STRAIGHT-TIME</t>
  </si>
  <si>
    <t>SALARIES-CLERICAL AND TECHNICAL  STRAIGH</t>
  </si>
  <si>
    <t>SALARIES-CLERICAL AND TECHNICAL  TIME AN</t>
  </si>
  <si>
    <t>SALARIES-CLERICAL AND TECHNICAL  DOUBLE</t>
  </si>
  <si>
    <t>SALARIES-UNION  STRAIGHT-TIME</t>
  </si>
  <si>
    <t>SALARIES-UNION  TIME AND ONE HALF</t>
  </si>
  <si>
    <t>SALARIES-UNION  DOUBLE TIME</t>
  </si>
  <si>
    <t>EMP TRAVEL-HOTEL/LODG (ROOM AND TAX ONLY</t>
  </si>
  <si>
    <t>SRV-CONSULTING-OTHER</t>
  </si>
  <si>
    <t>SRV-VEHICLE &amp; EQUIP RENTAL W/OPERATOR</t>
  </si>
  <si>
    <t>SRV-CONSTRUCTION-ELECTRIC</t>
  </si>
  <si>
    <t>HELICOPTER UTILIZATION</t>
  </si>
  <si>
    <t>VEHICLE UTILIZATION-LABOR</t>
  </si>
  <si>
    <t>VEHICLE UTILIZATION-NONLABOR</t>
  </si>
  <si>
    <t>Cash Discounts on Purchases</t>
  </si>
  <si>
    <t>Vacation &amp; Sick (Costing sheet)</t>
  </si>
  <si>
    <t>ICP (Costing Sheet)</t>
  </si>
  <si>
    <t>Public Liab.&amp; Property Damage-Lab(CS)</t>
  </si>
  <si>
    <t>Worker's Comp -Labor (Costing sheet)</t>
  </si>
  <si>
    <t>Pension &amp; Benefits - Labor</t>
  </si>
  <si>
    <t>Payroll Taxes (Costing sheet)</t>
  </si>
  <si>
    <t>Public Liab.&amp; Property Damage-NonLab(CS)</t>
  </si>
  <si>
    <t>Worker's Comp -Non Labor (Costing sheet)</t>
  </si>
  <si>
    <t>Pension &amp; Benefit - NonLabor</t>
  </si>
  <si>
    <t>PENSION &amp; BENEFIT - REFUNDABLE - NL</t>
  </si>
  <si>
    <t>VACATION &amp; SICK (CL)</t>
  </si>
  <si>
    <t>ICP (CL)</t>
  </si>
  <si>
    <t>PUBLIAB PROPDAM L(CL)</t>
  </si>
  <si>
    <t>WK COMP-LABOR (CL)</t>
  </si>
  <si>
    <t>PENSION &amp; BENEFIT-NONREF-LBR (CL)</t>
  </si>
  <si>
    <t>PAYROLL TAXES (CL)</t>
  </si>
  <si>
    <t>PUBLIAB PROPDAM NL(CL)</t>
  </si>
  <si>
    <t>WK COMP-NONLABOR (CL)</t>
  </si>
  <si>
    <t>PENSION &amp; BENEFIT-NONREF-NL (CL)</t>
  </si>
  <si>
    <t>PENSION &amp; BENEFIT-REF-NL (CL)</t>
  </si>
  <si>
    <t>Purchasing Labor (Costing sheet)</t>
  </si>
  <si>
    <t>Small Tools Labor (Costing sheet)</t>
  </si>
  <si>
    <t>Union Contract Labor (CS)</t>
  </si>
  <si>
    <t>Purchasing NonLabor (Costing sheet)</t>
  </si>
  <si>
    <t>Small Tools NonLabor (Costing sheet)</t>
  </si>
  <si>
    <t>FERC Account 190</t>
  </si>
  <si>
    <t>FERC Account 283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</si>
  <si>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</si>
  <si>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t>SALARIES-MANAGEMENT  TIME AND ONE HALF</t>
  </si>
  <si>
    <r>
      <t>Total General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</si>
  <si>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 xml:space="preserve">Total Common Plant </t>
    </r>
    <r>
      <rPr>
        <b/>
        <vertAlign val="superscript"/>
        <sz val="12"/>
        <rFont val="Times New Roman"/>
        <family val="1"/>
      </rPr>
      <t>2, 4</t>
    </r>
  </si>
  <si>
    <r>
      <t>Transmission Plant Allocation Factor</t>
    </r>
    <r>
      <rPr>
        <b/>
        <vertAlign val="superscript"/>
        <sz val="12"/>
        <rFont val="Times New Roman"/>
        <family val="1"/>
      </rPr>
      <t xml:space="preserve"> 5</t>
    </r>
  </si>
  <si>
    <r>
      <t xml:space="preserve">Transmission Plant Depreciation Reserve </t>
    </r>
    <r>
      <rPr>
        <b/>
        <vertAlign val="superscript"/>
        <sz val="12"/>
        <rFont val="Times New Roman"/>
        <family val="1"/>
      </rPr>
      <t>1, 3</t>
    </r>
  </si>
  <si>
    <r>
      <t xml:space="preserve">Electric Misc. Intangible Plant Amortization Reserve </t>
    </r>
    <r>
      <rPr>
        <b/>
        <vertAlign val="superscript"/>
        <sz val="12"/>
        <rFont val="Times New Roman"/>
        <family val="1"/>
      </rPr>
      <t>2, 4</t>
    </r>
  </si>
  <si>
    <r>
      <t xml:space="preserve">General Plant Depreciation Reserve </t>
    </r>
    <r>
      <rPr>
        <b/>
        <vertAlign val="superscript"/>
        <sz val="12"/>
        <rFont val="Times New Roman"/>
        <family val="1"/>
      </rPr>
      <t>2, 4</t>
    </r>
  </si>
  <si>
    <r>
      <t xml:space="preserve">Common Plant Depreciation Reserve  </t>
    </r>
    <r>
      <rPr>
        <b/>
        <vertAlign val="superscript"/>
        <sz val="12"/>
        <rFont val="Times New Roman"/>
        <family val="1"/>
      </rPr>
      <t>2, 4</t>
    </r>
  </si>
  <si>
    <r>
      <t xml:space="preserve">Exclusions </t>
    </r>
    <r>
      <rPr>
        <b/>
        <vertAlign val="superscript"/>
        <sz val="12"/>
        <color theme="1"/>
        <rFont val="Times New Roman"/>
        <family val="1"/>
      </rPr>
      <t>2</t>
    </r>
  </si>
  <si>
    <t>Ties to FERC Form 1; Page 354; Line 21; Col. b.</t>
  </si>
  <si>
    <r>
      <t xml:space="preserve">Less: Other Taxes (Business license taxes) </t>
    </r>
    <r>
      <rPr>
        <b/>
        <vertAlign val="superscript"/>
        <sz val="12"/>
        <rFont val="Times New Roman"/>
        <family val="1"/>
      </rPr>
      <t>2</t>
    </r>
  </si>
  <si>
    <t xml:space="preserve">   FERC Account 190</t>
  </si>
  <si>
    <t xml:space="preserve">   FERC Account 282</t>
  </si>
  <si>
    <t xml:space="preserve">   FERC Account 283</t>
  </si>
  <si>
    <t>Depn Exp.</t>
  </si>
  <si>
    <t>As a result, such items are excluded in Column b.</t>
  </si>
  <si>
    <t>Property Insurance</t>
  </si>
  <si>
    <t>Miscellaneous General Expenses</t>
  </si>
  <si>
    <t>Outside Services Employed</t>
  </si>
  <si>
    <t>Office Supplies &amp; Expenses</t>
  </si>
  <si>
    <t>Transmission Related M&amp;S Allocated to Transmission</t>
  </si>
  <si>
    <t>Transmission Related Prepayments Allocated to Transmission</t>
  </si>
  <si>
    <t>Transmission Related Working Cash</t>
  </si>
  <si>
    <t xml:space="preserve">     Citizens Portion of Cash Working Capital</t>
  </si>
  <si>
    <t>Represents the monthly accumulated depreciation and amortization on the Citizens Lease amount for term of service.</t>
  </si>
  <si>
    <t>Total Transmission Wages &amp; Salaries</t>
  </si>
  <si>
    <t>Total Adjusted Citizens Transmission Wages &amp; Salaries</t>
  </si>
  <si>
    <t xml:space="preserve">The allocated general and common accumulated deferred income taxes are included in the total transmission related accumulated deferred income taxes. See FERC Form 1; Page 450.1; Sch. Pg. 274; </t>
  </si>
  <si>
    <t>Line 2; Col. b and k.</t>
  </si>
  <si>
    <t>Reflects the years that were taken into consideration to develop the table. The table begins</t>
  </si>
  <si>
    <t>in 2001 because all the data needed was not available until 2001 in SAP (SDG&amp;E's general</t>
  </si>
  <si>
    <t>accounting system).</t>
  </si>
  <si>
    <t>which are tracked via a specific work order.</t>
  </si>
  <si>
    <t>SALARIES-DELAYED LUNCH PREMIUM</t>
  </si>
  <si>
    <t>SRV-CONTRACTORS-TIME &amp; EQUIPMENT</t>
  </si>
  <si>
    <t>SRV-TREE TRIMMING</t>
  </si>
  <si>
    <t>Form 1; Page 450.1; Sch. Pg. 204; Line 104; Col. b; EOY</t>
  </si>
  <si>
    <t>Form 1; Page 450.1; Sch. Pg. 204; Line 104; Col. b; 13-Month Avg.</t>
  </si>
  <si>
    <t>Form 1; Page 450.1; Sch. Pg. 204; Line 104; Col. b; BOY</t>
  </si>
  <si>
    <t>450.1; Sch. Pg. 204; 104; b</t>
  </si>
  <si>
    <t>Account 190</t>
  </si>
  <si>
    <t>Account 282</t>
  </si>
  <si>
    <t xml:space="preserve">     Total of Account 190</t>
  </si>
  <si>
    <t xml:space="preserve">     Total of Account 282</t>
  </si>
  <si>
    <r>
      <t xml:space="preserve">     Total Transmission Related ADIT </t>
    </r>
    <r>
      <rPr>
        <vertAlign val="superscript"/>
        <sz val="12"/>
        <rFont val="Times New Roman"/>
        <family val="1"/>
      </rPr>
      <t>2</t>
    </r>
  </si>
  <si>
    <t>FERC Account 282</t>
  </si>
  <si>
    <t>450.1; Sch. Pg. 262; 18; i</t>
  </si>
  <si>
    <t>Business license taxes are no longer recorded in Total Property Taxes and are separately shown in FERC Form 1; Page 263; Line 4; Col. i.</t>
  </si>
  <si>
    <t>Number of Months in Base Period</t>
  </si>
  <si>
    <r>
      <t xml:space="preserve">Total Steam Production Plant </t>
    </r>
    <r>
      <rPr>
        <b/>
        <vertAlign val="superscript"/>
        <sz val="12"/>
        <rFont val="Times New Roman"/>
        <family val="1"/>
      </rPr>
      <t>1,3</t>
    </r>
  </si>
  <si>
    <r>
      <t xml:space="preserve">Total Nuclear Production Plant </t>
    </r>
    <r>
      <rPr>
        <b/>
        <vertAlign val="superscript"/>
        <sz val="12"/>
        <rFont val="Times New Roman"/>
        <family val="1"/>
      </rPr>
      <t>1,3</t>
    </r>
  </si>
  <si>
    <r>
      <t xml:space="preserve">Total Hydraulic Production Plant </t>
    </r>
    <r>
      <rPr>
        <b/>
        <vertAlign val="superscript"/>
        <sz val="12"/>
        <rFont val="Times New Roman"/>
        <family val="1"/>
      </rPr>
      <t>1,3</t>
    </r>
  </si>
  <si>
    <r>
      <t xml:space="preserve">Total Other Production Plant </t>
    </r>
    <r>
      <rPr>
        <b/>
        <vertAlign val="superscript"/>
        <sz val="12"/>
        <rFont val="Times New Roman"/>
        <family val="1"/>
      </rPr>
      <t>1,3</t>
    </r>
  </si>
  <si>
    <r>
      <t xml:space="preserve">Total Distribution Plant </t>
    </r>
    <r>
      <rPr>
        <b/>
        <vertAlign val="superscript"/>
        <sz val="12"/>
        <rFont val="Times New Roman"/>
        <family val="1"/>
      </rPr>
      <t>2,3</t>
    </r>
  </si>
  <si>
    <r>
      <t xml:space="preserve">Transmission Plant </t>
    </r>
    <r>
      <rPr>
        <b/>
        <vertAlign val="superscript"/>
        <sz val="12"/>
        <rFont val="Times New Roman"/>
        <family val="1"/>
      </rPr>
      <t>1, 3</t>
    </r>
  </si>
  <si>
    <r>
      <t>Total Electric Miscellaneous Intangible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</si>
  <si>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t>Reflects direct maintenance expenses incurred on the 11.5-mile SX-PQ Underground Line Segment,</t>
  </si>
  <si>
    <t>Natural</t>
  </si>
  <si>
    <t>Rate</t>
  </si>
  <si>
    <t>Citizens should exclude expenses associated with substation, overhead, and underground maintenance.</t>
  </si>
  <si>
    <t>Other Federal Tax Adjustments</t>
  </si>
  <si>
    <t>Col. 1</t>
  </si>
  <si>
    <t>Col. 2</t>
  </si>
  <si>
    <t>Col. 3</t>
  </si>
  <si>
    <t>Col. 4</t>
  </si>
  <si>
    <t>Col. 5</t>
  </si>
  <si>
    <t>Col. 6</t>
  </si>
  <si>
    <t>Col. 7</t>
  </si>
  <si>
    <t>Col. 8</t>
  </si>
  <si>
    <t>Col. 9</t>
  </si>
  <si>
    <t>Col. 10</t>
  </si>
  <si>
    <t>Col. 11</t>
  </si>
  <si>
    <t>Calculations:</t>
  </si>
  <si>
    <t>Cumulative</t>
  </si>
  <si>
    <t>Monthly</t>
  </si>
  <si>
    <t>Overcollection (-) or</t>
  </si>
  <si>
    <t>Prior</t>
  </si>
  <si>
    <t>Adjusted Monthly</t>
  </si>
  <si>
    <t>Undercollection (+)</t>
  </si>
  <si>
    <t>True-Up</t>
  </si>
  <si>
    <t>Prior Other</t>
  </si>
  <si>
    <t>Interest</t>
  </si>
  <si>
    <t>in Revenue</t>
  </si>
  <si>
    <t>Year</t>
  </si>
  <si>
    <r>
      <t>Revenues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</si>
  <si>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3</t>
    </r>
  </si>
  <si>
    <t>Revenues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</si>
  <si>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5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</si>
  <si>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</si>
  <si>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</si>
  <si>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</si>
  <si>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</si>
  <si>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</si>
  <si>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</si>
  <si>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</si>
  <si>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</si>
  <si>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</si>
  <si>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>True Up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</si>
  <si>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</si>
  <si>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</si>
  <si>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</si>
  <si>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</si>
  <si>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</si>
  <si>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Commission for a previous year.</t>
  </si>
  <si>
    <t>Rates specified on the FERC website pursuant to Section 35.19a of the Commission regulation.</t>
  </si>
  <si>
    <t>Derived using the prior month balance in Column 11 plus the current month balance in Column 7.</t>
  </si>
  <si>
    <t>Interest is calculated using an average of beginning and ending balances: 1) in month 1, the average is 1/2 of balance in Column 7; and 2) in subsequent months is the average of prior month balance in Column 11 and the current month balance in Column 9.</t>
  </si>
  <si>
    <t>Prior Cycle</t>
  </si>
  <si>
    <t>Cumulative Overcollection (-) or</t>
  </si>
  <si>
    <t>Undercollection (+) in Revenue</t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</si>
  <si>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</si>
  <si>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March</t>
  </si>
  <si>
    <t>April</t>
  </si>
  <si>
    <t xml:space="preserve">June </t>
  </si>
  <si>
    <t>July</t>
  </si>
  <si>
    <t>August</t>
  </si>
  <si>
    <t>September</t>
  </si>
  <si>
    <t>October</t>
  </si>
  <si>
    <t>November</t>
  </si>
  <si>
    <t>December</t>
  </si>
  <si>
    <t>Represents the true-up adjustment from the previous annual cycle filing. SDG&amp;E accrues interest until the amount is fully collected/refunded in rates.</t>
  </si>
  <si>
    <t>The Cumulative Overcollection / Undercollection is: 1) the beginning balance in Column 2 for January; and 2) the previous month balance in Column 6 for all subsequent months.</t>
  </si>
  <si>
    <t>Interest is calculated using an average of beginning and ending balances: 1) January uses the entire balance from Column 4; and 2) subsequent months use the average of the prior month balance in</t>
  </si>
  <si>
    <t>Column 6 and the current month balance from Column 4.</t>
  </si>
  <si>
    <t>Beginning</t>
  </si>
  <si>
    <t>Ending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</si>
  <si>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</si>
  <si>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Amortization</t>
  </si>
  <si>
    <t>Principal</t>
  </si>
  <si>
    <t>June</t>
  </si>
  <si>
    <t>The Beginning Balance  is: 1) the balance in Column 6; Line 18 from the Interest True-Up Base Period for January; and 2) the balance from previous month in Column 7 of this workpaper for all</t>
  </si>
  <si>
    <t>subsequent months.</t>
  </si>
  <si>
    <t>Amortization reduces the beginning balance to zero by the end of December and is derived as follows:</t>
  </si>
  <si>
    <t>Beginning Balance/{[(1+Rate)^12-1]/[Rate*(1+Rate)^12]}.</t>
  </si>
  <si>
    <t>Rate is an average of the base period FERC Rates presented in the Section 4a True-Up calculation in Column 8 to derive a more accurate and consistent amortization amount (Column 4).</t>
  </si>
  <si>
    <t xml:space="preserve">   359 - Roads &amp; Trails</t>
  </si>
  <si>
    <t xml:space="preserve">   357 - Underground Conduit</t>
  </si>
  <si>
    <t>TO5 Transmission Plant Deprec. Rates WP</t>
  </si>
  <si>
    <t xml:space="preserve">     Citizens Direct Maintenance</t>
  </si>
  <si>
    <t xml:space="preserve">   358 - Underground Conductors &amp; Devices</t>
  </si>
  <si>
    <r>
      <t>Cost of Service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</si>
  <si>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>Adjustments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4</t>
    </r>
  </si>
  <si>
    <t>Adjustment to back-out the applicable prior year true-up and interest true-up adjustments that are included in the recorded monthly true-up revenues in Column 3.</t>
  </si>
  <si>
    <t>Adjustment to back-out Other Adjustments from a prior year which would be included in the recorded monthly true-up revenues in Column 3. Such adjustments include, but are not limited to, error adjustments and out-of-cycle recovery or refunds ordered by the</t>
  </si>
  <si>
    <r>
      <t xml:space="preserve">Difference With and Without Bonus Deprec. </t>
    </r>
    <r>
      <rPr>
        <b/>
        <vertAlign val="superscript"/>
        <sz val="12"/>
        <rFont val="Times New Roman"/>
        <family val="1"/>
      </rPr>
      <t>1</t>
    </r>
  </si>
  <si>
    <r>
      <t xml:space="preserve">     Total Direct Maintenance Cost </t>
    </r>
    <r>
      <rPr>
        <b/>
        <vertAlign val="superscript"/>
        <sz val="12"/>
        <rFont val="Times New Roman"/>
        <family val="1"/>
      </rPr>
      <t>1, 2</t>
    </r>
  </si>
  <si>
    <r>
      <t xml:space="preserve">Maintenance of Overhead Lines </t>
    </r>
    <r>
      <rPr>
        <b/>
        <vertAlign val="superscript"/>
        <sz val="12"/>
        <rFont val="Times New Roman"/>
        <family val="1"/>
      </rPr>
      <t>1</t>
    </r>
  </si>
  <si>
    <r>
      <t xml:space="preserve">Maintenance of Underground Lines </t>
    </r>
    <r>
      <rPr>
        <b/>
        <vertAlign val="superscript"/>
        <sz val="12"/>
        <rFont val="Times New Roman"/>
        <family val="1"/>
      </rPr>
      <t>2</t>
    </r>
  </si>
  <si>
    <t xml:space="preserve">Account 572 for Underground Line Maintenance is excluded because Citizens is charged via a Direct Maintenance order, which is reflected on AH-1. </t>
  </si>
  <si>
    <t>Excludes FERC Accounts 562, 563, 570, 571, and 572 associated with substation, underground, and overhead wages &amp; salaries not applicable to Citizens.</t>
  </si>
  <si>
    <t>Reflects FERC Accounts 562, 563, 570, 571, and 572 associated with substation, underground, and overhead wages &amp; salaries not applicable to Citizens.</t>
  </si>
  <si>
    <t>AFUDC Equity Depreciation Expense - Net of AFUDC Equity Depreciation Expense on Assets Leased to Citizens SX-PQ</t>
  </si>
  <si>
    <t>AFUDC embedded in the Lease Payment on the SX-PQ Underground Line Segment</t>
  </si>
  <si>
    <t>AFUDC Equity Embedded in the SX-PQ Underground Line Segement</t>
  </si>
  <si>
    <t>Net Transmission Plant</t>
  </si>
  <si>
    <t>Description of Annual Costs</t>
  </si>
  <si>
    <t>Subtotal Annual Costs</t>
  </si>
  <si>
    <t>Other Adjustments</t>
  </si>
  <si>
    <t>Total Annual Costs</t>
  </si>
  <si>
    <t>Description of Monthly Costs</t>
  </si>
  <si>
    <t>Total Monthly Costs</t>
  </si>
  <si>
    <t>Transmission Related O&amp;M Expense</t>
  </si>
  <si>
    <t>Transmission O&amp;M Expense</t>
  </si>
  <si>
    <t xml:space="preserve">     Transmission O&amp;M Expense Carrying Charge Percentage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</si>
  <si>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</si>
  <si>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</si>
  <si>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</si>
  <si>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</si>
  <si>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 xml:space="preserve">     Subtotal Annual Carrying Charge Rate</t>
  </si>
  <si>
    <t xml:space="preserve">     Total Annual Carrying Charge Rate</t>
  </si>
  <si>
    <t>Citizens Lease Payment</t>
  </si>
  <si>
    <t>Total Annual Carrying Charge Rate</t>
  </si>
  <si>
    <t>Transmission Property Insurance and Tax Allocation Factor</t>
  </si>
  <si>
    <t>ADIT</t>
  </si>
  <si>
    <t>Average</t>
  </si>
  <si>
    <t>CPUC</t>
  </si>
  <si>
    <t>Total Project</t>
  </si>
  <si>
    <t>Project</t>
  </si>
  <si>
    <t>($)</t>
  </si>
  <si>
    <r>
      <t xml:space="preserve">Maintenance of Station Equipment </t>
    </r>
    <r>
      <rPr>
        <vertAlign val="superscript"/>
        <sz val="12"/>
        <rFont val="Times New Roman"/>
        <family val="1"/>
      </rPr>
      <t>1</t>
    </r>
  </si>
  <si>
    <r>
      <t xml:space="preserve">Maintenance of Overhead Lines </t>
    </r>
    <r>
      <rPr>
        <vertAlign val="superscript"/>
        <sz val="12"/>
        <rFont val="Times New Roman"/>
        <family val="1"/>
      </rPr>
      <t>1</t>
    </r>
  </si>
  <si>
    <t>Net Transmission Related Common Plant</t>
  </si>
  <si>
    <t>Net Transmission Related General Plant</t>
  </si>
  <si>
    <t>Total Net Transmission Related General and Common Plant</t>
  </si>
  <si>
    <t>Transmission Related General and Common Depreciation Expense</t>
  </si>
  <si>
    <t>Cost of Capital Rate</t>
  </si>
  <si>
    <t>Cost Adjustment Workpapers</t>
  </si>
  <si>
    <t>Transmission Related Municipal Franchise Fees Expense</t>
  </si>
  <si>
    <t>A. Derivation of Direct Maintenance Expense Allocated to Citizens</t>
  </si>
  <si>
    <t>Total Citizens Annual Prior Year Cost of Service</t>
  </si>
  <si>
    <t>Total Citizens Monthly Prior Year Cost of Service</t>
  </si>
  <si>
    <t>B. Derivation of Non-Direct Expense</t>
  </si>
  <si>
    <t xml:space="preserve">     Total Non-Direct Expense</t>
  </si>
  <si>
    <t>Total Transmission Related A&amp;G Expense Including Property Ins.</t>
  </si>
  <si>
    <t>Transmission Related General and Common Return and Associated Income Taxes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</si>
  <si>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</si>
  <si>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Citizens SX-PQ Underground Line Segment Adj. (see w/p AV-2B)</t>
  </si>
  <si>
    <t>(c) = (a)+(b)</t>
  </si>
  <si>
    <t xml:space="preserve">     Total Operating &amp; Maintenance Wages &amp; Salaries Excl. A&amp;G</t>
  </si>
  <si>
    <t xml:space="preserve">     Transmission Related Property Taxes Expense</t>
  </si>
  <si>
    <t>Total Transmission Related Amortization of Excess Deferred Tax Liabilities</t>
  </si>
  <si>
    <r>
      <t xml:space="preserve">     Total Federal Tax Adjustments </t>
    </r>
    <r>
      <rPr>
        <b/>
        <vertAlign val="superscript"/>
        <sz val="12"/>
        <rFont val="Times New Roman"/>
        <family val="1"/>
      </rPr>
      <t>1</t>
    </r>
  </si>
  <si>
    <t>STATEMENT AR</t>
  </si>
  <si>
    <t>(c) = [(a) + (b)]</t>
  </si>
  <si>
    <t>Excess Reserve</t>
  </si>
  <si>
    <t>Protected</t>
  </si>
  <si>
    <t>Unprotected</t>
  </si>
  <si>
    <t xml:space="preserve">   Compensation Related Items</t>
  </si>
  <si>
    <t xml:space="preserve">   Post Retirement Benefits</t>
  </si>
  <si>
    <t xml:space="preserve">   Net Operating Loss</t>
  </si>
  <si>
    <t xml:space="preserve">   Accumulated Depreciation Timing Differences</t>
  </si>
  <si>
    <t>Account 283</t>
  </si>
  <si>
    <t xml:space="preserve">   Ad Valorem Taxes</t>
  </si>
  <si>
    <t xml:space="preserve">     Total of Account 283</t>
  </si>
  <si>
    <t xml:space="preserve">Miscellaneous Statement </t>
  </si>
  <si>
    <r>
      <t xml:space="preserve">Transmission Plant Abandoned Project Cost </t>
    </r>
    <r>
      <rPr>
        <b/>
        <vertAlign val="superscript"/>
        <sz val="12"/>
        <rFont val="Times New Roman"/>
        <family val="1"/>
      </rPr>
      <t>1</t>
    </r>
  </si>
  <si>
    <r>
      <t xml:space="preserve">Other Regulatory Assets/Liabilities </t>
    </r>
    <r>
      <rPr>
        <b/>
        <vertAlign val="superscript"/>
        <sz val="12"/>
        <rFont val="Times New Roman"/>
        <family val="1"/>
      </rPr>
      <t>1</t>
    </r>
  </si>
  <si>
    <t>applicable data field will be filled.</t>
  </si>
  <si>
    <t>Direct Maintenance expenses are ultilized and allocated in Section 1 of this Filing.</t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</si>
  <si>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</si>
  <si>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</si>
  <si>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</si>
  <si>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</si>
  <si>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Miscellaneous Transmission Expense </t>
  </si>
  <si>
    <t xml:space="preserve">   Transmission of Electricity by Others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</si>
  <si>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</si>
  <si>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</si>
  <si>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</si>
  <si>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CPUC Intervenor Funding Expense - Distribution</t>
  </si>
  <si>
    <t xml:space="preserve">   CPUC reimbursement fees</t>
  </si>
  <si>
    <t xml:space="preserve">   Litigation expenses - Litigation Cost Memorandum Account (LCMA)</t>
  </si>
  <si>
    <t xml:space="preserve">   General Advertising Expenses </t>
  </si>
  <si>
    <t xml:space="preserve">   CPUC energy efficiency programs</t>
  </si>
  <si>
    <t xml:space="preserve">   Hazardous substances - Hazardous Substance Cleanup Cost Account</t>
  </si>
  <si>
    <t xml:space="preserve">   Other A&amp;G Exclusion Adjustments</t>
  </si>
  <si>
    <t>Return and Associated Income Taxes</t>
  </si>
  <si>
    <t xml:space="preserve">     Total Direct Maintenance Expense Including FF</t>
  </si>
  <si>
    <t xml:space="preserve">     Subtotal of Citizens Direct Maintenance Excluding FF</t>
  </si>
  <si>
    <t>Transmission Related General &amp; Common Plant Revenue</t>
  </si>
  <si>
    <t>A. Transmission Related O&amp;M Expense</t>
  </si>
  <si>
    <t>B. Transmission Related A&amp;G Expense</t>
  </si>
  <si>
    <t>C. Transmission Related Property Tax Expense</t>
  </si>
  <si>
    <t>D. Transmission Related Payroll Tax Expense</t>
  </si>
  <si>
    <t>E. Transmission Related Working Capital Revenue</t>
  </si>
  <si>
    <t>F. Transmission Related General &amp; Common Plant Revenue</t>
  </si>
  <si>
    <t xml:space="preserve">     Transmission Related Property Tax Carrying Charge Percentage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</si>
  <si>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</si>
  <si>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r>
      <t xml:space="preserve">Add: Citizens Weighted Average Lease Amount </t>
    </r>
    <r>
      <rPr>
        <b/>
        <vertAlign val="superscript"/>
        <sz val="12"/>
        <rFont val="Times New Roman"/>
        <family val="1"/>
      </rPr>
      <t>2</t>
    </r>
  </si>
  <si>
    <r>
      <t xml:space="preserve">Transmission Property Insurance and Tax Allocation Factor </t>
    </r>
    <r>
      <rPr>
        <b/>
        <vertAlign val="superscript"/>
        <sz val="12"/>
        <rFont val="Times New Roman"/>
        <family val="1"/>
      </rPr>
      <t>1</t>
    </r>
  </si>
  <si>
    <t>Net Property Taxes Incl. Citizens</t>
  </si>
  <si>
    <t>Net Property Taxes Excl. Citizens</t>
  </si>
  <si>
    <t>Total Payroll Taxes Expense Incl. Citizens</t>
  </si>
  <si>
    <t>Total Transmission Plant &amp; Incentive Transmission Plant</t>
  </si>
  <si>
    <t>INCENTIVE TRANSMISSION PLANT</t>
  </si>
  <si>
    <t>Incentive</t>
  </si>
  <si>
    <t xml:space="preserve">Transmission </t>
  </si>
  <si>
    <t>Incentive Transmission Plant ADIT</t>
  </si>
  <si>
    <t>Incentive Transmission Plant Abandoned Project Cost ADIT</t>
  </si>
  <si>
    <t xml:space="preserve">STATEMENT AF </t>
  </si>
  <si>
    <t>ACCUMULATED DEFERRED INCOME TAXES - ELECTRIC TRANSMISSION</t>
  </si>
  <si>
    <t>(d) = [Sum (a) thru (c)]</t>
  </si>
  <si>
    <t xml:space="preserve">Remeasured </t>
  </si>
  <si>
    <t>Amount</t>
  </si>
  <si>
    <t>Account 283 (Non-Citizens)</t>
  </si>
  <si>
    <t>Account 282 (Non-Citizens)</t>
  </si>
  <si>
    <t>Account 190 (Citizens)</t>
  </si>
  <si>
    <t>Account 190 (Non-Citizens)</t>
  </si>
  <si>
    <t>Account 283 (Citizens)</t>
  </si>
  <si>
    <t>Account 282 (Citizens)</t>
  </si>
  <si>
    <t>Transmission Plant &amp; Incentive Transmission Plant</t>
  </si>
  <si>
    <t>A. Derivation of Net Transmission Plant:</t>
  </si>
  <si>
    <t>Incentive Transmission Plant</t>
  </si>
  <si>
    <t>Incentive Transmission Plant Depreciation Reserve</t>
  </si>
  <si>
    <t xml:space="preserve">     Total Net Incentive Transmission Plant</t>
  </si>
  <si>
    <t>B. Incentive Project Net Transmission Plant:</t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</si>
  <si>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</si>
  <si>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</si>
  <si>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</si>
  <si>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</si>
  <si>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</si>
  <si>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</si>
  <si>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t>Incentive Weighted Cost of Capital:</t>
  </si>
  <si>
    <t>Incentive Cost of Equity Component (Preferred &amp; Common):</t>
  </si>
  <si>
    <t xml:space="preserve">     D = Incentive ROE Project Transmission Rate Base</t>
  </si>
  <si>
    <t xml:space="preserve">Federal Income Tax    =    (((A) + (C / D)) * FT) - (B / D)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</si>
  <si>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</si>
  <si>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</si>
  <si>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</si>
  <si>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 xml:space="preserve">Federal Income Tax Expense </t>
  </si>
  <si>
    <r>
      <t xml:space="preserve">Incentive Transmission Plant </t>
    </r>
    <r>
      <rPr>
        <b/>
        <vertAlign val="superscript"/>
        <sz val="12"/>
        <rFont val="Times New Roman"/>
        <family val="1"/>
      </rPr>
      <t>1</t>
    </r>
  </si>
  <si>
    <t>The balances for Steam, Nuclear, Hydraulic, Other Production, Transmission, and Incentive Transmission plant are derived based on a 13-month average balance.</t>
  </si>
  <si>
    <t>The depreciation reserve for Transmission and Incentive Transmission plant is derived based on a 13-month average balance.</t>
  </si>
  <si>
    <r>
      <t xml:space="preserve">Incentive Transmission Plant Depreciation Reserve </t>
    </r>
    <r>
      <rPr>
        <b/>
        <vertAlign val="superscript"/>
        <sz val="12"/>
        <rFont val="Times New Roman"/>
        <family val="1"/>
      </rPr>
      <t>1</t>
    </r>
  </si>
  <si>
    <t>AFUDC Equity Percentage as of November 2018</t>
  </si>
  <si>
    <t>Total Transmission Related General and Common Plant Revenues</t>
  </si>
  <si>
    <t>Transmission Plant Depreciation Expense</t>
  </si>
  <si>
    <t>Electric Miscellaneous Intangible Plant Amortization Expense</t>
  </si>
  <si>
    <t xml:space="preserve">General Plant Depreciation Expense </t>
  </si>
  <si>
    <t>Transmission Related Electric Misc. Intangible Plant Amortization Expense</t>
  </si>
  <si>
    <t>Transmission Related General Plant Depreciation Expense</t>
  </si>
  <si>
    <t>Transmission Related Common Plant Depreciation Expense</t>
  </si>
  <si>
    <t xml:space="preserve">     Total Transmission, General, Common, and Electric Misc. Intangible Exp.</t>
  </si>
  <si>
    <t>Incentive Transmission Plant Depreciation Expense</t>
  </si>
  <si>
    <t>Transmission Plant Abandoned Project Cost Amortization Expense</t>
  </si>
  <si>
    <t>Net of Incentive Transmission Plant Depreciation Expense.</t>
  </si>
  <si>
    <r>
      <t>Incentive Transmission Plant Abandoned Project Cost Amortization Expense</t>
    </r>
    <r>
      <rPr>
        <vertAlign val="superscript"/>
        <sz val="12"/>
        <rFont val="Times New Roman"/>
        <family val="1"/>
      </rPr>
      <t xml:space="preserve"> 1</t>
    </r>
  </si>
  <si>
    <t>336; 1; f</t>
  </si>
  <si>
    <t>Add: Citizens Allocated Portion of Payroll Taxes</t>
  </si>
  <si>
    <t>Add: Citizens Allocated Portion of Property Taxes</t>
  </si>
  <si>
    <t>Incentive Return on Common Equity:</t>
  </si>
  <si>
    <t>Transmission Related Regulatory Debits/Credits</t>
  </si>
  <si>
    <r>
      <t>B. Incentive ROE Project Transmission Rate Base:</t>
    </r>
    <r>
      <rPr>
        <sz val="12"/>
        <rFont val="Times New Roman"/>
        <family val="1"/>
      </rPr>
      <t xml:space="preserve"> </t>
    </r>
  </si>
  <si>
    <r>
      <t>C. Incentive Transmission Plant Abandoned Project Rate Base:</t>
    </r>
    <r>
      <rPr>
        <sz val="12"/>
        <rFont val="Times New Roman"/>
        <family val="1"/>
      </rPr>
      <t xml:space="preserve"> </t>
    </r>
  </si>
  <si>
    <t>D. Incentive Transmission Construction Work In Progress</t>
  </si>
  <si>
    <t xml:space="preserve">     C = Equity AFUDC Component of Transmission Depreciation Expense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</si>
  <si>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</si>
  <si>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>Transmission O&amp;M Expenses in SAP Account 7000721, which was created to track Citizens SX-PQ O&amp;M Expense.</t>
  </si>
  <si>
    <r>
      <t xml:space="preserve">Transmission O&amp;M Expenses Charged to Citizens </t>
    </r>
    <r>
      <rPr>
        <b/>
        <vertAlign val="superscript"/>
        <sz val="12"/>
        <rFont val="Times New Roman"/>
        <family val="1"/>
      </rPr>
      <t>3</t>
    </r>
  </si>
  <si>
    <t>CITIZENS' SHARE OF THE SX-PQ UNDERGROUND LINE SEGMENT</t>
  </si>
  <si>
    <t xml:space="preserve">     Total Transmission Related General and Common Plant Carrying Charge Percentage</t>
  </si>
  <si>
    <t>C. Derivation of Citizens SX-PQ Underground Line Segment Cost of Removal</t>
  </si>
  <si>
    <t xml:space="preserve">     Subtotal Annual Cost of Removal</t>
  </si>
  <si>
    <t xml:space="preserve">     Total Annual Cost of Removal</t>
  </si>
  <si>
    <t>DERIVATION OF CITIZENS' TRUE-UP ADJUSTMENT -  (OVER) / UNDERCOLLECTION</t>
  </si>
  <si>
    <t>Total Base Period Interest and Current Year Interest</t>
  </si>
  <si>
    <r>
      <t>Total Base Period Interest</t>
    </r>
    <r>
      <rPr>
        <b/>
        <vertAlign val="superscript"/>
        <sz val="12"/>
        <rFont val="Times New Roman"/>
        <family val="1"/>
      </rPr>
      <t>4</t>
    </r>
  </si>
  <si>
    <t>Summary of Cost Components</t>
  </si>
  <si>
    <t xml:space="preserve">Section 2 - Non-Direct Expense Cost Component </t>
  </si>
  <si>
    <t>Shop Order Labor (Costing sheet)</t>
  </si>
  <si>
    <t>Shop Order NonLabor (Costing sheet)</t>
  </si>
  <si>
    <t>Account 7000722, which was created to track Citizens SX-PQ A&amp;G Expense.</t>
  </si>
  <si>
    <r>
      <t>AMORTIZATION OF TRANSMISSION RELATED EXCESS DEFERRED TAX LIABILITIES</t>
    </r>
    <r>
      <rPr>
        <b/>
        <vertAlign val="superscript"/>
        <sz val="12"/>
        <rFont val="Times New Roman"/>
        <family val="1"/>
      </rPr>
      <t>1</t>
    </r>
  </si>
  <si>
    <t>This workpaper does not include the amortization of excess ADIT associated with SX-PQ because the original ADIT balance was measured at the 21% tax rate and thus there is no excess ADIT.</t>
  </si>
  <si>
    <t>B. Equity AFUDC Component of Transmission Depreciation Expense</t>
  </si>
  <si>
    <t>Citizens O&amp;M should not include substation, underground, and overhead line maintenance per the Appendix XII Tariff (See Section I.C - number 31).</t>
  </si>
  <si>
    <t>Litigation expenses (ERRA)</t>
  </si>
  <si>
    <t>None of the above items apply to SDG&amp;E's TO5 Cycle 3 filing. However, as one or more of these items apply, subject to FERC approval, the</t>
  </si>
  <si>
    <t>2019 Form 1; Page 450.1; Sch. Pg. 234; Line 2; Col. b</t>
  </si>
  <si>
    <t>2019 Form 1; Page 450.1; Sch. Pg. 274; Line 2; Col. b</t>
  </si>
  <si>
    <t>2019 Form 1; Page 450.1; Sch. Pg. 276; Line 3; Col. b</t>
  </si>
  <si>
    <t>2019 Form 1; Page 450.1; Sch. Pg. 234; Line 2; Col. c</t>
  </si>
  <si>
    <t>2019 Form 1; Page 450.1; Sch. Pg. 274; Line 2; Col. k</t>
  </si>
  <si>
    <t>2019 Form 1; Page 450.1; Sch. Pg. 276; Line 3; Col. k</t>
  </si>
  <si>
    <t>Form 1; Page 450.1; Sch. Pg. 234; Line 2; Col. c</t>
  </si>
  <si>
    <t>Form 1; Page 450.1; Sch. Pg. 274; Line 2; Col. k</t>
  </si>
  <si>
    <t>Not Applicable to 2019 Base Period</t>
  </si>
  <si>
    <t>Other A&amp;G Exclusion Adjustments</t>
  </si>
  <si>
    <t xml:space="preserve">   Abandoned Projects</t>
  </si>
  <si>
    <t xml:space="preserve">   Injuries &amp; Damages</t>
  </si>
  <si>
    <t xml:space="preserve">   Franchise Requirements</t>
  </si>
  <si>
    <t xml:space="preserve">Negative of AH-3; Sum Lines 30, 32; Col. a </t>
  </si>
  <si>
    <t xml:space="preserve">Negative of AH-3; Sum Lines 26, 38; Col. a   </t>
  </si>
  <si>
    <t>Negative of AH-3; Line 42; Col. a</t>
  </si>
  <si>
    <t>Negative of AH-3; Line 33; Col. b</t>
  </si>
  <si>
    <t>Negative of AH-3; Line 37; Col. a</t>
  </si>
  <si>
    <t>Negative of AH-3; Sum Lines 24, 25, 27, 28, 31, 34, 40, 43; Col. a or b</t>
  </si>
  <si>
    <t>Negative of AH-3; Line 35; Col. a</t>
  </si>
  <si>
    <t>Negative of AH-3; Line 36; Col. a</t>
  </si>
  <si>
    <t>Negative of AH-3; Line 29; Col. a</t>
  </si>
  <si>
    <t>Negative of AH-3; Line 39; Col. b</t>
  </si>
  <si>
    <t>560170E</t>
  </si>
  <si>
    <t>OPERATION EXECUTIVE COMPENSATION</t>
  </si>
  <si>
    <t>563000E</t>
  </si>
  <si>
    <t>OVERHEAD LINE EXPENSES</t>
  </si>
  <si>
    <t>566ABPE</t>
  </si>
  <si>
    <t>MISCELLANEOUS TRANSMISSION ABANDONED PROJECTS</t>
  </si>
  <si>
    <t>569300E</t>
  </si>
  <si>
    <t>MAINTENANCE OF COMPUTER EQUIPMENT</t>
  </si>
  <si>
    <t>571930E</t>
  </si>
  <si>
    <t>OH PREV MAINT - INSPECTIONS</t>
  </si>
  <si>
    <t>TO5 Offer of Settlement; Section II.A.1.5.1</t>
  </si>
  <si>
    <t>AF-3; Line 5; Col. Average</t>
  </si>
  <si>
    <r>
      <t>Return on Common Equity:</t>
    </r>
    <r>
      <rPr>
        <sz val="12"/>
        <rFont val="Times New Roman"/>
        <family val="1"/>
      </rPr>
      <t xml:space="preserve"> </t>
    </r>
    <r>
      <rPr>
        <vertAlign val="superscript"/>
        <sz val="12"/>
        <color rgb="FFFF0000"/>
        <rFont val="Times New Roman"/>
        <family val="1"/>
      </rPr>
      <t>2</t>
    </r>
  </si>
  <si>
    <t xml:space="preserve"> SDG&amp;E Records</t>
  </si>
  <si>
    <t>Monthy True-Up Cost of Service comprises Sections 1 thru 3 Direct Maintenance, Non-Direct Expense, and Other Specific Expenses Cost Components.</t>
  </si>
  <si>
    <t>Monthly True-Up Revenues comprises the prior cycle costs applicable to the true-up period.</t>
  </si>
  <si>
    <r>
      <t xml:space="preserve">Ratemaking </t>
    </r>
    <r>
      <rPr>
        <b/>
        <vertAlign val="superscript"/>
        <sz val="12"/>
        <rFont val="Times New Roman"/>
        <family val="1"/>
      </rPr>
      <t>1</t>
    </r>
  </si>
  <si>
    <t>Represents the monthly Citizens Lease amount for term of service.</t>
  </si>
  <si>
    <t>Represents the lease amount for the term of service that is added to the 13-Month Average Balance for Transmission ratemaking.</t>
  </si>
  <si>
    <t>Page AF-3 is utilized in Section 3; Part A - Direct Assignment of ADIT to Citizens.</t>
  </si>
  <si>
    <r>
      <t>SDG&amp;E Records</t>
    </r>
    <r>
      <rPr>
        <vertAlign val="superscript"/>
        <sz val="12"/>
        <rFont val="Times New Roman"/>
        <family val="1"/>
      </rPr>
      <t>1</t>
    </r>
  </si>
  <si>
    <t xml:space="preserve">The 13-Month Avg. for prepayments included on FERC Form 1; Page 450.1; Sch. Pg. 110; Line 57; Col c. is incorrect.  </t>
  </si>
  <si>
    <t xml:space="preserve">During preparation of the TO5 Cycle 3 filing an error was identified in the allocation used to prepare the footnote.  </t>
  </si>
  <si>
    <t>The 13-Month Avg. included in TO5 Cycle 3 and the Appendix XII Cycle 3 is the correct amount.   </t>
  </si>
  <si>
    <t>Average ADIT Difference With and Without Bonus</t>
  </si>
  <si>
    <r>
      <t xml:space="preserve">Less: SONGS Property Taxes </t>
    </r>
    <r>
      <rPr>
        <b/>
        <vertAlign val="superscript"/>
        <sz val="12"/>
        <rFont val="Times New Roman"/>
        <family val="1"/>
      </rPr>
      <t>3</t>
    </r>
  </si>
  <si>
    <r>
      <t xml:space="preserve">Total Payroll Taxes Expense </t>
    </r>
    <r>
      <rPr>
        <b/>
        <vertAlign val="superscript"/>
        <sz val="12"/>
        <rFont val="Times New Roman"/>
        <family val="1"/>
      </rPr>
      <t>4</t>
    </r>
  </si>
  <si>
    <t>As of July 1, 2018, SDG&amp;E is no longer assesed property taxes on SONGS.</t>
  </si>
  <si>
    <t>Citizens portion of Equity AFUDC totaling $56K is embedded in the Equity AFUDC component of Transmission Depreciation expense.</t>
  </si>
  <si>
    <t>Negative of AH-3; Line 41; Col. a</t>
  </si>
  <si>
    <t>Statement AD</t>
  </si>
  <si>
    <t>Statement AE</t>
  </si>
  <si>
    <t>Statement AF</t>
  </si>
  <si>
    <t>Statement AG</t>
  </si>
  <si>
    <t>Statement AH</t>
  </si>
  <si>
    <t>Statement AI</t>
  </si>
  <si>
    <t>Statement AJ</t>
  </si>
  <si>
    <t>Statement AK</t>
  </si>
  <si>
    <t>Statement AL</t>
  </si>
  <si>
    <t>Statement AR</t>
  </si>
  <si>
    <t>560</t>
  </si>
  <si>
    <t>Executive ICP</t>
  </si>
  <si>
    <t>Negative of AH-2; Line 41; Col.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</si>
</sst>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0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;@"/>
    <numFmt numFmtId="165" formatCode="_(&quot;$&quot;* #,##0_);_(&quot;$&quot;* \(#,##0\);_(&quot;$&quot;* &quot;-&quot;??_);_(@_)"/>
    <numFmt numFmtId="166" formatCode="_(* #,##0_);_(* \(#,##0\);_(* &quot;-&quot;??_);_(@_)"/>
    <numFmt numFmtId="167" formatCode="0.0000%"/>
    <numFmt numFmtId="168" formatCode="_(* #,##0.0_);_(* \(#,##0.0\);_(* &quot;-&quot;??_);_(@_)"/>
    <numFmt numFmtId="169" formatCode="0.0"/>
    <numFmt numFmtId="170" formatCode="_(* #,##0.000_);_(* \(#,##0.000\);_(* &quot;-&quot;??_);_(@_)"/>
    <numFmt numFmtId="171" formatCode="mmmm\-yy"/>
    <numFmt numFmtId="172" formatCode="_(&quot;$&quot;* #,##0.0_);_(&quot;$&quot;* \(#,##0.0\);_(&quot;$&quot;* &quot;-&quot;??_);_(@_)"/>
    <numFmt numFmtId="173" formatCode="#,##0.0_);\(#,##0.0\)"/>
    <numFmt numFmtId="174" formatCode="#,##0\ \ \ \ \ \ \ "/>
    <numFmt numFmtId="175" formatCode="0.000000"/>
    <numFmt numFmtId="176" formatCode="00000"/>
    <numFmt numFmtId="177" formatCode="General_)"/>
    <numFmt numFmtId="178" formatCode="000"/>
    <numFmt numFmtId="179" formatCode="0000"/>
    <numFmt numFmtId="180" formatCode="mm\-dd\-yy"/>
    <numFmt numFmtId="181" formatCode="_(&quot;$&quot;* #,##0.000_);_(&quot;$&quot;* \(#,##0.000\);_(&quot;$&quot;* &quot;-&quot;??_);_(@_)"/>
    <numFmt numFmtId="182" formatCode="0_);\(0\)"/>
    <numFmt numFmtId="183" formatCode="0.00000%"/>
    <numFmt numFmtId="184" formatCode="&quot;$&quot;#,##0"/>
    <numFmt numFmtId="185" formatCode="&quot;Pr:&quot;\ #,##0"/>
    <numFmt numFmtId="186" formatCode="#,##0.0_);[Red]\(#,##0.0\)"/>
    <numFmt numFmtId="187" formatCode="#,##0_%_);\(#,##0\)_%;#,##0_%_);@_%_)"/>
    <numFmt numFmtId="188" formatCode="#,##0.00_%_);\(#,##0.00\)_%;#,##0.00_%_);@_%_)"/>
    <numFmt numFmtId="189" formatCode="&quot;$&quot;#,##0_%_);\(&quot;$&quot;#,##0\)_%;&quot;$&quot;#,##0_%_);@_%_)"/>
    <numFmt numFmtId="190" formatCode="&quot;$&quot;#,##0.00_%_);\(&quot;$&quot;#,##0.00\)_%;&quot;$&quot;#,##0.00_%_);@_%_)"/>
    <numFmt numFmtId="191" formatCode="m/d/yy_%_)"/>
    <numFmt numFmtId="192" formatCode="#,##0&quot; F&quot;_);\(#,##0&quot; F&quot;\)"/>
    <numFmt numFmtId="193" formatCode="_-* #,##0_-;\-* #,##0_-;_-* &quot;-&quot;_-;_-@_-"/>
    <numFmt numFmtId="194" formatCode="_-* #,##0.00_-;\-* #,##0.00_-;_-* &quot;-&quot;??_-;_-@_-"/>
    <numFmt numFmtId="195" formatCode="0_%_);\(0\)_%;0_%_);@_%_)"/>
    <numFmt numFmtId="196" formatCode="_([$€-2]* #,##0.00_);_([$€-2]* \(#,##0.00\);_([$€-2]* &quot;-&quot;??_)"/>
    <numFmt numFmtId="197" formatCode="#,##0.0000000000_);\(#,##0.0000000000\)"/>
    <numFmt numFmtId="198" formatCode="0.0\%_);\(0.0\%\);0.0\%_);@_%_)"/>
    <numFmt numFmtId="199" formatCode="#,##0.0;\(#,##0.0\)"/>
    <numFmt numFmtId="200" formatCode="\ #,##0\ &quot;m³ &quot;;[Red]\-#,##0\ &quot;m³ &quot;"/>
    <numFmt numFmtId="201" formatCode="0.0\x_)_);&quot;NM&quot;_x_)_);0.0\x_)_);@_%_)"/>
    <numFmt numFmtId="202" formatCode="0.00_)"/>
    <numFmt numFmtId="203" formatCode="&quot;$&quot;#,##0.0_);\(&quot;$&quot;#,##0.0\)"/>
    <numFmt numFmtId="204" formatCode="&quot;yr &quot;0"/>
    <numFmt numFmtId="205" formatCode="&quot;Momth &quot;0"/>
    <numFmt numFmtId="206" formatCode="&quot;£&quot;#,##0.00;\-&quot;£&quot;#,##0.00"/>
    <numFmt numFmtId="207" formatCode="0.0%"/>
    <numFmt numFmtId="208" formatCode="_(&quot;$&quot;* #,##0_);_(&quot;$&quot;* \(#,##0\)"/>
    <numFmt numFmtId="209" formatCode="_(* #,##0.000000_);_(* \(#,##0.000000\);_(* &quot;-&quot;??????_);_(@_)"/>
    <numFmt numFmtId="210" formatCode="0\ \ "/>
    <numFmt numFmtId="211" formatCode="_(&quot;$&quot;* #,##0.00000_);_(&quot;$&quot;* \(#,##0.00000\);_(&quot;$&quot;* &quot;-&quot;??_);_(@_)"/>
    <numFmt numFmtId="212" formatCode="0.000%"/>
    <numFmt numFmtId="213" formatCode="_(&quot;$&quot;* #,##0,_);_(&quot;$&quot;* \(#,##0,\);_(&quot;$&quot;* &quot;-&quot;??_);_(@_)"/>
    <numFmt numFmtId="214" formatCode="&quot;$&quot;#,##0,_);[Red]\(&quot;$&quot;#,##0,\)"/>
    <numFmt numFmtId="215" formatCode="_(* #,##0.0000_);_(* \(#,##0.0000\);_(* &quot;-&quot;??_);_(@_)"/>
    <numFmt numFmtId="216" formatCode="_(&quot;$&quot;* #,##0.0000000_);_(&quot;$&quot;* \(#,##0.0000000\);_(&quot;$&quot;* &quot;-&quot;??_);_(@_)"/>
  </numFmts>
  <fonts count="17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b/>
      <sz val="12"/>
      <color rgb="FFFF00FF"/>
      <name val="Times New Roman"/>
      <family val="1"/>
    </font>
    <font>
      <sz val="11"/>
      <name val="Calibri"/>
      <family val="2"/>
      <scheme val="minor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sz val="12"/>
      <color rgb="FF222222"/>
      <name val="Times New Roman"/>
      <family val="1"/>
    </font>
    <font>
      <u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2"/>
      <color rgb="FF0000FF"/>
      <name val="Times New Roman"/>
      <family val="1"/>
    </font>
    <font>
      <sz val="10"/>
      <name val="Arial"/>
      <family val="2"/>
    </font>
    <font>
      <b/>
      <strike/>
      <vertAlign val="superscript"/>
      <sz val="12"/>
      <color rgb="FFFF0000"/>
      <name val="Times New Roman"/>
      <family val="1"/>
    </font>
    <font>
      <vertAlign val="superscript"/>
      <sz val="12"/>
      <color rgb="FFFF0000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53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auto="1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3810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43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3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3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3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45" borderId="0" applyNumberFormat="0" applyBorder="0" applyAlignment="0" applyProtection="0"/>
    <xf numFmtId="0" fontId="33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3" fillId="3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3" fillId="50" borderId="0" applyNumberFormat="0" applyBorder="0" applyAlignment="0" applyProtection="0"/>
    <xf numFmtId="177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38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40" fillId="56" borderId="23" applyNumberFormat="0" applyProtection="0">
      <alignment vertical="center"/>
    </xf>
    <xf numFmtId="4" fontId="38" fillId="56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21" fillId="59" borderId="23" applyNumberFormat="0" applyProtection="0">
      <alignment vertical="center"/>
    </xf>
    <xf numFmtId="4" fontId="38" fillId="6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0" fillId="62" borderId="23" applyNumberFormat="0" applyProtection="0">
      <alignment vertical="center"/>
    </xf>
    <xf numFmtId="4" fontId="38" fillId="63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1" fillId="56" borderId="23" applyNumberFormat="0" applyProtection="0">
      <alignment vertical="center"/>
    </xf>
    <xf numFmtId="4" fontId="36" fillId="65" borderId="24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8" fillId="66" borderId="22" applyNumberFormat="0" applyProtection="0">
      <alignment horizontal="right" vertical="center"/>
    </xf>
    <xf numFmtId="4" fontId="42" fillId="67" borderId="23" applyNumberFormat="0" applyProtection="0">
      <alignment horizontal="left" vertical="center" indent="1"/>
    </xf>
    <xf numFmtId="4" fontId="43" fillId="66" borderId="0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25" fillId="70" borderId="25" applyNumberFormat="0">
      <protection locked="0"/>
    </xf>
    <xf numFmtId="0" fontId="15" fillId="71" borderId="26" applyBorder="0"/>
    <xf numFmtId="4" fontId="38" fillId="69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36" fillId="66" borderId="27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4" fontId="38" fillId="69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36" fillId="66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5" fillId="67" borderId="23" applyNumberFormat="0" applyProtection="0">
      <alignment vertical="center"/>
    </xf>
    <xf numFmtId="4" fontId="46" fillId="67" borderId="23" applyNumberFormat="0" applyProtection="0">
      <alignment vertical="center"/>
    </xf>
    <xf numFmtId="4" fontId="47" fillId="72" borderId="23" applyNumberFormat="0" applyProtection="0">
      <alignment horizontal="left" vertical="center" indent="1"/>
    </xf>
    <xf numFmtId="4" fontId="48" fillId="68" borderId="27" applyNumberFormat="0" applyProtection="0">
      <alignment horizontal="left" vertical="center" indent="1"/>
    </xf>
    <xf numFmtId="0" fontId="25" fillId="73" borderId="28"/>
    <xf numFmtId="4" fontId="49" fillId="69" borderId="22" applyNumberFormat="0" applyProtection="0">
      <alignment horizontal="right" vertical="center"/>
    </xf>
    <xf numFmtId="0" fontId="50" fillId="0" borderId="0" applyNumberFormat="0" applyFill="0" applyBorder="0" applyAlignment="0" applyProtection="0"/>
    <xf numFmtId="0" fontId="51" fillId="0" borderId="0"/>
    <xf numFmtId="0" fontId="52" fillId="0" borderId="29" applyNumberFormat="0" applyFill="0" applyProtection="0">
      <alignment horizontal="center"/>
    </xf>
    <xf numFmtId="0" fontId="53" fillId="0" borderId="0" applyNumberFormat="0" applyFill="0" applyBorder="0" applyProtection="0">
      <alignment horizontal="centerContinuous"/>
    </xf>
    <xf numFmtId="178" fontId="54" fillId="0" borderId="0" applyFont="0" applyFill="0" applyBorder="0" applyAlignment="0" applyProtection="0"/>
    <xf numFmtId="179" fontId="54" fillId="0" borderId="0" applyFont="0" applyFill="0" applyBorder="0" applyAlignment="0" applyProtection="0"/>
    <xf numFmtId="0" fontId="55" fillId="13" borderId="0" applyNumberFormat="0" applyBorder="0" applyAlignment="0" applyProtection="0"/>
    <xf numFmtId="0" fontId="55" fillId="17" borderId="0" applyNumberFormat="0" applyBorder="0" applyAlignment="0" applyProtection="0"/>
    <xf numFmtId="0" fontId="55" fillId="21" borderId="0" applyNumberFormat="0" applyBorder="0" applyAlignment="0" applyProtection="0"/>
    <xf numFmtId="0" fontId="55" fillId="25" borderId="0" applyNumberFormat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14" borderId="0" applyNumberFormat="0" applyBorder="0" applyAlignment="0" applyProtection="0"/>
    <xf numFmtId="0" fontId="55" fillId="18" borderId="0" applyNumberFormat="0" applyBorder="0" applyAlignment="0" applyProtection="0"/>
    <xf numFmtId="0" fontId="55" fillId="22" borderId="0" applyNumberFormat="0" applyBorder="0" applyAlignment="0" applyProtection="0"/>
    <xf numFmtId="0" fontId="55" fillId="26" borderId="0" applyNumberFormat="0" applyBorder="0" applyAlignment="0" applyProtection="0"/>
    <xf numFmtId="0" fontId="55" fillId="30" borderId="0" applyNumberFormat="0" applyBorder="0" applyAlignment="0" applyProtection="0"/>
    <xf numFmtId="0" fontId="55" fillId="34" borderId="0" applyNumberFormat="0" applyBorder="0" applyAlignment="0" applyProtection="0"/>
    <xf numFmtId="0" fontId="56" fillId="15" borderId="0" applyNumberFormat="0" applyBorder="0" applyAlignment="0" applyProtection="0"/>
    <xf numFmtId="0" fontId="56" fillId="19" borderId="0" applyNumberFormat="0" applyBorder="0" applyAlignment="0" applyProtection="0"/>
    <xf numFmtId="0" fontId="56" fillId="23" borderId="0" applyNumberFormat="0" applyBorder="0" applyAlignment="0" applyProtection="0"/>
    <xf numFmtId="0" fontId="56" fillId="27" borderId="0" applyNumberFormat="0" applyBorder="0" applyAlignment="0" applyProtection="0"/>
    <xf numFmtId="0" fontId="56" fillId="31" borderId="0" applyNumberFormat="0" applyBorder="0" applyAlignment="0" applyProtection="0"/>
    <xf numFmtId="0" fontId="56" fillId="35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6" borderId="0" applyNumberFormat="0" applyBorder="0" applyAlignment="0" applyProtection="0"/>
    <xf numFmtId="0" fontId="60" fillId="79" borderId="30" applyNumberFormat="0" applyAlignment="0" applyProtection="0"/>
    <xf numFmtId="0" fontId="60" fillId="79" borderId="30" applyNumberFormat="0" applyAlignment="0" applyProtection="0"/>
    <xf numFmtId="0" fontId="61" fillId="9" borderId="16" applyNumberFormat="0" applyAlignment="0" applyProtection="0"/>
    <xf numFmtId="0" fontId="62" fillId="77" borderId="31" applyNumberFormat="0" applyAlignment="0" applyProtection="0"/>
    <xf numFmtId="0" fontId="62" fillId="77" borderId="31" applyNumberFormat="0" applyAlignment="0" applyProtection="0"/>
    <xf numFmtId="0" fontId="63" fillId="10" borderId="19" applyNumberFormat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0" fontId="64" fillId="0" borderId="0" applyFont="0">
      <alignment horizontal="center"/>
    </xf>
    <xf numFmtId="0" fontId="65" fillId="0" borderId="0" applyNumberFormat="0" applyFill="0" applyBorder="0" applyAlignment="0" applyProtection="0"/>
    <xf numFmtId="1" fontId="54" fillId="0" borderId="0" applyFo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13" applyNumberFormat="0" applyFill="0" applyAlignment="0" applyProtection="0"/>
    <xf numFmtId="0" fontId="69" fillId="0" borderId="33" applyNumberFormat="0" applyFill="0" applyAlignment="0" applyProtection="0"/>
    <xf numFmtId="0" fontId="69" fillId="0" borderId="33" applyNumberFormat="0" applyFill="0" applyAlignment="0" applyProtection="0"/>
    <xf numFmtId="0" fontId="70" fillId="0" borderId="14" applyNumberFormat="0" applyFill="0" applyAlignment="0" applyProtection="0"/>
    <xf numFmtId="0" fontId="71" fillId="0" borderId="34" applyNumberFormat="0" applyFill="0" applyAlignment="0" applyProtection="0"/>
    <xf numFmtId="0" fontId="71" fillId="0" borderId="34" applyNumberFormat="0" applyFill="0" applyAlignment="0" applyProtection="0"/>
    <xf numFmtId="0" fontId="72" fillId="0" borderId="15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9" borderId="30" applyNumberFormat="0" applyAlignment="0" applyProtection="0"/>
    <xf numFmtId="0" fontId="73" fillId="49" borderId="30" applyNumberFormat="0" applyAlignment="0" applyProtection="0"/>
    <xf numFmtId="0" fontId="74" fillId="8" borderId="16" applyNumberFormat="0" applyAlignment="0" applyProtection="0"/>
    <xf numFmtId="0" fontId="75" fillId="0" borderId="35" applyNumberFormat="0" applyFill="0" applyAlignment="0" applyProtection="0"/>
    <xf numFmtId="0" fontId="75" fillId="0" borderId="35" applyNumberFormat="0" applyFill="0" applyAlignment="0" applyProtection="0"/>
    <xf numFmtId="0" fontId="76" fillId="0" borderId="18" applyNumberFormat="0" applyFill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0" fontId="25" fillId="80" borderId="0"/>
    <xf numFmtId="0" fontId="79" fillId="0" borderId="0"/>
    <xf numFmtId="0" fontId="25" fillId="80" borderId="0"/>
    <xf numFmtId="0" fontId="25" fillId="80" borderId="0"/>
    <xf numFmtId="0" fontId="4" fillId="0" borderId="0"/>
    <xf numFmtId="0" fontId="55" fillId="0" borderId="0"/>
    <xf numFmtId="0" fontId="79" fillId="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80" fillId="11" borderId="20" applyNumberFormat="0" applyFont="0" applyAlignment="0" applyProtection="0"/>
    <xf numFmtId="0" fontId="81" fillId="79" borderId="36" applyNumberFormat="0" applyAlignment="0" applyProtection="0"/>
    <xf numFmtId="0" fontId="81" fillId="79" borderId="36" applyNumberFormat="0" applyAlignment="0" applyProtection="0"/>
    <xf numFmtId="0" fontId="82" fillId="9" borderId="17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11">
      <alignment horizontal="center"/>
    </xf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4" fontId="36" fillId="54" borderId="22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43" fillId="54" borderId="36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39" fillId="82" borderId="22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43" fillId="54" borderId="36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85" fillId="54" borderId="36" applyNumberFormat="0" applyProtection="0">
      <alignment vertical="center"/>
    </xf>
    <xf numFmtId="4" fontId="86" fillId="54" borderId="30" applyNumberFormat="0" applyProtection="0">
      <alignment vertical="center"/>
    </xf>
    <xf numFmtId="4" fontId="37" fillId="54" borderId="22" applyNumberFormat="0" applyProtection="0">
      <alignment vertical="center"/>
    </xf>
    <xf numFmtId="4" fontId="38" fillId="54" borderId="22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0" fontId="87" fillId="82" borderId="22" applyNumberFormat="0" applyProtection="0">
      <alignment horizontal="left" vertical="top" indent="1"/>
    </xf>
    <xf numFmtId="4" fontId="43" fillId="54" borderId="36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43" fillId="58" borderId="36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58" borderId="36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43" fillId="56" borderId="36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56" borderId="36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43" fillId="64" borderId="36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64" borderId="36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3" fillId="63" borderId="36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63" borderId="36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43" fillId="97" borderId="36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7" borderId="36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39" fillId="99" borderId="36" applyNumberFormat="0" applyProtection="0">
      <alignment horizontal="left" vertical="center" indent="1"/>
    </xf>
    <xf numFmtId="4" fontId="39" fillId="98" borderId="24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36" fillId="65" borderId="24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39" fillId="98" borderId="24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66" borderId="0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70" borderId="25" applyNumberFormat="0">
      <protection locked="0"/>
    </xf>
    <xf numFmtId="0" fontId="25" fillId="70" borderId="25" applyNumberFormat="0">
      <protection locked="0"/>
    </xf>
    <xf numFmtId="0" fontId="25" fillId="70" borderId="25" applyNumberFormat="0">
      <protection locked="0"/>
    </xf>
    <xf numFmtId="0" fontId="25" fillId="70" borderId="25" applyNumberFormat="0">
      <protection locked="0"/>
    </xf>
    <xf numFmtId="0" fontId="25" fillId="70" borderId="25" applyNumberFormat="0">
      <protection locked="0"/>
    </xf>
    <xf numFmtId="4" fontId="43" fillId="72" borderId="36" applyNumberFormat="0" applyProtection="0">
      <alignment vertical="center"/>
    </xf>
    <xf numFmtId="4" fontId="43" fillId="72" borderId="36" applyNumberFormat="0" applyProtection="0">
      <alignment vertical="center"/>
    </xf>
    <xf numFmtId="4" fontId="88" fillId="108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36" applyNumberFormat="0" applyProtection="0">
      <alignment vertical="center"/>
    </xf>
    <xf numFmtId="4" fontId="38" fillId="69" borderId="22" applyNumberFormat="0" applyProtection="0">
      <alignment vertical="center"/>
    </xf>
    <xf numFmtId="4" fontId="85" fillId="72" borderId="36" applyNumberFormat="0" applyProtection="0">
      <alignment vertical="center"/>
    </xf>
    <xf numFmtId="4" fontId="86" fillId="72" borderId="28" applyNumberFormat="0" applyProtection="0">
      <alignment vertical="center"/>
    </xf>
    <xf numFmtId="4" fontId="44" fillId="69" borderId="22" applyNumberFormat="0" applyProtection="0">
      <alignment vertical="center"/>
    </xf>
    <xf numFmtId="4" fontId="43" fillId="72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88" fillId="104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0" fontId="88" fillId="108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3" fillId="72" borderId="36" applyNumberFormat="0" applyProtection="0">
      <alignment horizontal="left" vertical="center" indent="1"/>
    </xf>
    <xf numFmtId="4" fontId="38" fillId="69" borderId="22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0" borderId="22" applyNumberFormat="0" applyProtection="0">
      <alignment horizontal="right" vertical="center"/>
    </xf>
    <xf numFmtId="4" fontId="43" fillId="0" borderId="22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85" fillId="100" borderId="36" applyNumberFormat="0" applyProtection="0">
      <alignment horizontal="right" vertical="center"/>
    </xf>
    <xf numFmtId="4" fontId="86" fillId="67" borderId="30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36" fillId="66" borderId="22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43" fillId="0" borderId="22" applyNumberFormat="0" applyProtection="0">
      <alignment horizontal="left" vertical="center" indent="1"/>
    </xf>
    <xf numFmtId="4" fontId="43" fillId="0" borderId="22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88" fillId="102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89" fillId="0" borderId="0"/>
    <xf numFmtId="4" fontId="90" fillId="109" borderId="37" applyNumberFormat="0" applyProtection="0">
      <alignment horizontal="left" vertical="center" indent="1"/>
    </xf>
    <xf numFmtId="0" fontId="89" fillId="0" borderId="0"/>
    <xf numFmtId="0" fontId="89" fillId="0" borderId="0"/>
    <xf numFmtId="4" fontId="48" fillId="68" borderId="27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8"/>
    <xf numFmtId="0" fontId="25" fillId="73" borderId="28"/>
    <xf numFmtId="0" fontId="25" fillId="73" borderId="28"/>
    <xf numFmtId="0" fontId="25" fillId="73" borderId="28"/>
    <xf numFmtId="0" fontId="25" fillId="73" borderId="28"/>
    <xf numFmtId="0" fontId="25" fillId="73" borderId="28"/>
    <xf numFmtId="0" fontId="25" fillId="73" borderId="28"/>
    <xf numFmtId="0" fontId="25" fillId="73" borderId="28"/>
    <xf numFmtId="0" fontId="25" fillId="73" borderId="28"/>
    <xf numFmtId="4" fontId="91" fillId="100" borderId="36" applyNumberFormat="0" applyProtection="0">
      <alignment horizontal="right" vertical="center"/>
    </xf>
    <xf numFmtId="4" fontId="92" fillId="70" borderId="30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0" fontId="93" fillId="110" borderId="0"/>
    <xf numFmtId="49" fontId="94" fillId="110" borderId="0"/>
    <xf numFmtId="49" fontId="95" fillId="110" borderId="39"/>
    <xf numFmtId="49" fontId="95" fillId="110" borderId="0"/>
    <xf numFmtId="0" fontId="93" fillId="67" borderId="39">
      <protection locked="0"/>
    </xf>
    <xf numFmtId="0" fontId="93" fillId="110" borderId="0"/>
    <xf numFmtId="0" fontId="96" fillId="61" borderId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97" fillId="0" borderId="21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2" fillId="0" borderId="0"/>
    <xf numFmtId="0" fontId="4" fillId="0" borderId="0"/>
    <xf numFmtId="0" fontId="80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177" fontId="34" fillId="0" borderId="0"/>
    <xf numFmtId="177" fontId="34" fillId="0" borderId="0"/>
    <xf numFmtId="0" fontId="99" fillId="6" borderId="0" applyNumberFormat="0" applyBorder="0" applyAlignment="0" applyProtection="0"/>
    <xf numFmtId="0" fontId="59" fillId="6" borderId="0" applyNumberFormat="0" applyBorder="0" applyAlignment="0" applyProtection="0"/>
    <xf numFmtId="0" fontId="100" fillId="9" borderId="16" applyNumberFormat="0" applyAlignment="0" applyProtection="0"/>
    <xf numFmtId="0" fontId="61" fillId="9" borderId="16" applyNumberFormat="0" applyAlignment="0" applyProtection="0"/>
    <xf numFmtId="0" fontId="101" fillId="10" borderId="19" applyNumberFormat="0" applyAlignment="0" applyProtection="0"/>
    <xf numFmtId="0" fontId="63" fillId="10" borderId="19" applyNumberFormat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2" fillId="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32" fillId="43" borderId="0" applyNumberFormat="0" applyBorder="0" applyAlignment="0" applyProtection="0"/>
    <xf numFmtId="0" fontId="103" fillId="0" borderId="13" applyNumberFormat="0" applyFill="0" applyAlignment="0" applyProtection="0"/>
    <xf numFmtId="0" fontId="68" fillId="0" borderId="13" applyNumberFormat="0" applyFill="0" applyAlignment="0" applyProtection="0"/>
    <xf numFmtId="0" fontId="104" fillId="0" borderId="14" applyNumberFormat="0" applyFill="0" applyAlignment="0" applyProtection="0"/>
    <xf numFmtId="0" fontId="70" fillId="0" borderId="14" applyNumberFormat="0" applyFill="0" applyAlignment="0" applyProtection="0"/>
    <xf numFmtId="0" fontId="105" fillId="0" borderId="15" applyNumberFormat="0" applyFill="0" applyAlignment="0" applyProtection="0"/>
    <xf numFmtId="0" fontId="72" fillId="0" borderId="15" applyNumberFormat="0" applyFill="0" applyAlignment="0" applyProtection="0"/>
    <xf numFmtId="0" fontId="10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6" fillId="8" borderId="16" applyNumberFormat="0" applyAlignment="0" applyProtection="0"/>
    <xf numFmtId="0" fontId="74" fillId="8" borderId="16" applyNumberFormat="0" applyAlignment="0" applyProtection="0"/>
    <xf numFmtId="0" fontId="107" fillId="0" borderId="18" applyNumberFormat="0" applyFill="0" applyAlignment="0" applyProtection="0"/>
    <xf numFmtId="0" fontId="76" fillId="0" borderId="18" applyNumberFormat="0" applyFill="0" applyAlignment="0" applyProtection="0"/>
    <xf numFmtId="0" fontId="108" fillId="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0" fontId="75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25" fillId="80" borderId="0"/>
    <xf numFmtId="0" fontId="2" fillId="0" borderId="0"/>
    <xf numFmtId="0" fontId="2" fillId="0" borderId="0"/>
    <xf numFmtId="0" fontId="8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5" fillId="80" borderId="0"/>
    <xf numFmtId="0" fontId="25" fillId="8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5" fillId="48" borderId="30" applyNumberFormat="0" applyFont="0" applyAlignment="0" applyProtection="0"/>
    <xf numFmtId="0" fontId="80" fillId="11" borderId="20" applyNumberFormat="0" applyFont="0" applyAlignment="0" applyProtection="0"/>
    <xf numFmtId="0" fontId="80" fillId="11" borderId="20" applyNumberFormat="0" applyFont="0" applyAlignment="0" applyProtection="0"/>
    <xf numFmtId="0" fontId="80" fillId="11" borderId="20" applyNumberFormat="0" applyFont="0" applyAlignment="0" applyProtection="0"/>
    <xf numFmtId="0" fontId="80" fillId="11" borderId="20" applyNumberFormat="0" applyFont="0" applyAlignment="0" applyProtection="0"/>
    <xf numFmtId="0" fontId="80" fillId="11" borderId="20" applyNumberFormat="0" applyFont="0" applyAlignment="0" applyProtection="0"/>
    <xf numFmtId="0" fontId="80" fillId="11" borderId="20" applyNumberFormat="0" applyFont="0" applyAlignment="0" applyProtection="0"/>
    <xf numFmtId="0" fontId="80" fillId="11" borderId="20" applyNumberFormat="0" applyFont="0" applyAlignment="0" applyProtection="0"/>
    <xf numFmtId="0" fontId="80" fillId="11" borderId="20" applyNumberFormat="0" applyFont="0" applyAlignment="0" applyProtection="0"/>
    <xf numFmtId="0" fontId="80" fillId="11" borderId="20" applyNumberFormat="0" applyFont="0" applyAlignment="0" applyProtection="0"/>
    <xf numFmtId="0" fontId="110" fillId="9" borderId="17" applyNumberFormat="0" applyAlignment="0" applyProtection="0"/>
    <xf numFmtId="0" fontId="82" fillId="9" borderId="17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1" fillId="0" borderId="0" applyNumberFormat="0" applyFill="0" applyBorder="0" applyProtection="0">
      <alignment horizontal="left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86" fillId="54" borderId="30" applyNumberFormat="0" applyProtection="0">
      <alignment vertical="center"/>
    </xf>
    <xf numFmtId="4" fontId="25" fillId="54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25" fillId="70" borderId="25" applyNumberFormat="0">
      <protection locked="0"/>
    </xf>
    <xf numFmtId="0" fontId="25" fillId="70" borderId="25" applyNumberFormat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70" borderId="25" applyNumberFormat="0">
      <protection locked="0"/>
    </xf>
    <xf numFmtId="4" fontId="88" fillId="108" borderId="22" applyNumberFormat="0" applyProtection="0">
      <alignment vertical="center"/>
    </xf>
    <xf numFmtId="4" fontId="86" fillId="72" borderId="28" applyNumberFormat="0" applyProtection="0">
      <alignment vertical="center"/>
    </xf>
    <xf numFmtId="4" fontId="88" fillId="104" borderId="22" applyNumberFormat="0" applyProtection="0">
      <alignment horizontal="left" vertical="center" indent="1"/>
    </xf>
    <xf numFmtId="0" fontId="88" fillId="108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86" fillId="67" borderId="30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8"/>
    <xf numFmtId="4" fontId="92" fillId="70" borderId="30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112" fillId="0" borderId="21" applyNumberFormat="0" applyFill="0" applyAlignment="0" applyProtection="0"/>
    <xf numFmtId="0" fontId="97" fillId="0" borderId="21" applyNumberFormat="0" applyFill="0" applyAlignment="0" applyProtection="0"/>
    <xf numFmtId="0" fontId="11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5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9" fillId="54" borderId="22" applyNumberFormat="0" applyProtection="0">
      <alignment horizontal="left" vertical="top" indent="1"/>
    </xf>
    <xf numFmtId="0" fontId="62" fillId="77" borderId="43" applyNumberFormat="0" applyAlignment="0" applyProtection="0"/>
    <xf numFmtId="0" fontId="62" fillId="77" borderId="43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4" fillId="0" borderId="42">
      <alignment horizontal="center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" fontId="116" fillId="54" borderId="22" applyNumberFormat="0" applyProtection="0">
      <alignment vertical="center"/>
    </xf>
    <xf numFmtId="44" fontId="4" fillId="0" borderId="0" applyFont="0" applyFill="0" applyBorder="0" applyAlignment="0" applyProtection="0"/>
    <xf numFmtId="4" fontId="91" fillId="101" borderId="22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68" borderId="22" applyNumberFormat="0" applyProtection="0">
      <alignment horizontal="left" vertical="top" indent="1"/>
    </xf>
    <xf numFmtId="0" fontId="55" fillId="11" borderId="20" applyNumberFormat="0" applyFon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66" borderId="22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69" borderId="22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55" borderId="22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85" fillId="72" borderId="22" applyNumberFormat="0" applyProtection="0">
      <alignment vertical="center"/>
    </xf>
    <xf numFmtId="4" fontId="48" fillId="109" borderId="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9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9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4" fontId="4" fillId="0" borderId="0" applyFont="0" applyFill="0" applyBorder="0" applyAlignment="0" applyProtection="0"/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149" fillId="125" borderId="81" applyBorder="0" applyProtection="0">
      <alignment horizontal="centerContinuous" vertical="center"/>
    </xf>
    <xf numFmtId="43" fontId="4" fillId="0" borderId="0" applyFont="0" applyFill="0" applyBorder="0" applyAlignment="0" applyProtection="0"/>
    <xf numFmtId="0" fontId="4" fillId="0" borderId="0"/>
    <xf numFmtId="4" fontId="36" fillId="65" borderId="62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36" fillId="66" borderId="83" applyNumberFormat="0" applyProtection="0">
      <alignment horizontal="left" vertical="center" indent="1"/>
    </xf>
    <xf numFmtId="6" fontId="4" fillId="0" borderId="0">
      <protection locked="0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73" borderId="61"/>
    <xf numFmtId="0" fontId="4" fillId="69" borderId="83" applyNumberFormat="0" applyProtection="0">
      <alignment horizontal="left" vertical="top" indent="1"/>
    </xf>
    <xf numFmtId="0" fontId="114" fillId="0" borderId="0"/>
    <xf numFmtId="41" fontId="2" fillId="0" borderId="0" applyFont="0" applyFill="0" applyBorder="0" applyAlignment="0" applyProtection="0"/>
    <xf numFmtId="4" fontId="43" fillId="102" borderId="83" applyNumberFormat="0" applyProtection="0">
      <alignment horizontal="left" vertical="center" inden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52" fillId="0" borderId="64" applyNumberFormat="0" applyFill="0" applyProtection="0">
      <alignment horizontal="center"/>
    </xf>
    <xf numFmtId="4" fontId="43" fillId="102" borderId="83" applyNumberFormat="0" applyProtection="0">
      <alignment horizontal="left" vertical="center" indent="1"/>
    </xf>
    <xf numFmtId="177" fontId="118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3" fillId="112" borderId="0" applyNumberFormat="0" applyBorder="0" applyAlignment="0" applyProtection="0"/>
    <xf numFmtId="0" fontId="43" fillId="112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113" borderId="0" applyNumberFormat="0" applyBorder="0" applyAlignment="0" applyProtection="0"/>
    <xf numFmtId="0" fontId="43" fillId="113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15" borderId="0" applyNumberFormat="0" applyBorder="0" applyAlignment="0" applyProtection="0"/>
    <xf numFmtId="0" fontId="43" fillId="115" borderId="0" applyNumberFormat="0" applyBorder="0" applyAlignment="0" applyProtection="0"/>
    <xf numFmtId="0" fontId="43" fillId="116" borderId="0" applyNumberFormat="0" applyBorder="0" applyAlignment="0" applyProtection="0"/>
    <xf numFmtId="0" fontId="43" fillId="116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7" borderId="0" applyNumberFormat="0" applyBorder="0" applyAlignment="0" applyProtection="0"/>
    <xf numFmtId="0" fontId="43" fillId="87" borderId="0" applyNumberFormat="0" applyBorder="0" applyAlignment="0" applyProtection="0"/>
    <xf numFmtId="0" fontId="43" fillId="96" borderId="0" applyNumberFormat="0" applyBorder="0" applyAlignment="0" applyProtection="0"/>
    <xf numFmtId="0" fontId="43" fillId="96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9" borderId="0" applyNumberFormat="0" applyBorder="0" applyAlignment="0" applyProtection="0"/>
    <xf numFmtId="0" fontId="43" fillId="89" borderId="0" applyNumberFormat="0" applyBorder="0" applyAlignment="0" applyProtection="0"/>
    <xf numFmtId="0" fontId="119" fillId="117" borderId="0" applyNumberFormat="0" applyBorder="0" applyAlignment="0" applyProtection="0"/>
    <xf numFmtId="0" fontId="119" fillId="117" borderId="0" applyNumberFormat="0" applyBorder="0" applyAlignment="0" applyProtection="0"/>
    <xf numFmtId="0" fontId="119" fillId="87" borderId="0" applyNumberFormat="0" applyBorder="0" applyAlignment="0" applyProtection="0"/>
    <xf numFmtId="0" fontId="119" fillId="87" borderId="0" applyNumberFormat="0" applyBorder="0" applyAlignment="0" applyProtection="0"/>
    <xf numFmtId="0" fontId="119" fillId="96" borderId="0" applyNumberFormat="0" applyBorder="0" applyAlignment="0" applyProtection="0"/>
    <xf numFmtId="0" fontId="119" fillId="96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0" borderId="0" applyNumberFormat="0" applyBorder="0" applyAlignment="0" applyProtection="0"/>
    <xf numFmtId="0" fontId="119" fillId="90" borderId="0" applyNumberFormat="0" applyBorder="0" applyAlignment="0" applyProtection="0"/>
    <xf numFmtId="0" fontId="119" fillId="119" borderId="0" applyNumberFormat="0" applyBorder="0" applyAlignment="0" applyProtection="0"/>
    <xf numFmtId="0" fontId="119" fillId="119" borderId="0" applyNumberFormat="0" applyBorder="0" applyAlignment="0" applyProtection="0"/>
    <xf numFmtId="0" fontId="119" fillId="88" borderId="0" applyNumberFormat="0" applyBorder="0" applyAlignment="0" applyProtection="0"/>
    <xf numFmtId="0" fontId="119" fillId="88" borderId="0" applyNumberFormat="0" applyBorder="0" applyAlignment="0" applyProtection="0"/>
    <xf numFmtId="0" fontId="119" fillId="94" borderId="0" applyNumberFormat="0" applyBorder="0" applyAlignment="0" applyProtection="0"/>
    <xf numFmtId="0" fontId="119" fillId="94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2" borderId="0" applyNumberFormat="0" applyBorder="0" applyAlignment="0" applyProtection="0"/>
    <xf numFmtId="0" fontId="119" fillId="92" borderId="0" applyNumberFormat="0" applyBorder="0" applyAlignment="0" applyProtection="0"/>
    <xf numFmtId="185" fontId="4" fillId="66" borderId="65">
      <alignment horizontal="center" vertical="center"/>
    </xf>
    <xf numFmtId="185" fontId="4" fillId="66" borderId="65">
      <alignment horizontal="center" vertical="center"/>
    </xf>
    <xf numFmtId="185" fontId="4" fillId="66" borderId="65">
      <alignment horizontal="center" vertical="center"/>
    </xf>
    <xf numFmtId="185" fontId="4" fillId="66" borderId="65">
      <alignment horizontal="center" vertical="center"/>
    </xf>
    <xf numFmtId="185" fontId="4" fillId="66" borderId="65">
      <alignment horizontal="center" vertical="center"/>
    </xf>
    <xf numFmtId="185" fontId="4" fillId="66" borderId="65">
      <alignment horizontal="center" vertical="center"/>
    </xf>
    <xf numFmtId="185" fontId="4" fillId="66" borderId="65">
      <alignment horizontal="center" vertical="center"/>
    </xf>
    <xf numFmtId="185" fontId="4" fillId="66" borderId="65">
      <alignment horizontal="center" vertical="center"/>
    </xf>
    <xf numFmtId="185" fontId="4" fillId="66" borderId="65">
      <alignment horizontal="center" vertical="center"/>
    </xf>
    <xf numFmtId="0" fontId="120" fillId="85" borderId="0" applyNumberFormat="0" applyBorder="0" applyAlignment="0" applyProtection="0"/>
    <xf numFmtId="0" fontId="120" fillId="85" borderId="0" applyNumberFormat="0" applyBorder="0" applyAlignment="0" applyProtection="0"/>
    <xf numFmtId="3" fontId="121" fillId="0" borderId="0" applyFill="0" applyBorder="0" applyProtection="0">
      <alignment horizontal="right"/>
    </xf>
    <xf numFmtId="186" fontId="122" fillId="0" borderId="0" applyNumberFormat="0" applyFill="0" applyBorder="0" applyAlignment="0" applyProtection="0">
      <alignment horizontal="center"/>
      <protection locked="0"/>
    </xf>
    <xf numFmtId="0" fontId="123" fillId="0" borderId="48" applyFill="0" applyProtection="0">
      <alignment horizontal="right"/>
    </xf>
    <xf numFmtId="0" fontId="124" fillId="104" borderId="66" applyNumberFormat="0" applyAlignment="0" applyProtection="0"/>
    <xf numFmtId="0" fontId="124" fillId="104" borderId="66" applyNumberFormat="0" applyAlignment="0" applyProtection="0"/>
    <xf numFmtId="8" fontId="4" fillId="0" borderId="47" applyFont="0" applyFill="0" applyBorder="0" applyProtection="0">
      <alignment horizontal="right"/>
    </xf>
    <xf numFmtId="0" fontId="125" fillId="120" borderId="59" applyNumberFormat="0" applyAlignment="0" applyProtection="0"/>
    <xf numFmtId="0" fontId="125" fillId="120" borderId="59" applyNumberFormat="0" applyAlignment="0" applyProtection="0"/>
    <xf numFmtId="0" fontId="15" fillId="0" borderId="50">
      <alignment horizontal="center"/>
    </xf>
    <xf numFmtId="187" fontId="126" fillId="0" borderId="0" applyFont="0" applyFill="0" applyBorder="0" applyAlignment="0" applyProtection="0">
      <alignment horizontal="right"/>
    </xf>
    <xf numFmtId="0" fontId="43" fillId="68" borderId="83" applyNumberFormat="0" applyProtection="0">
      <alignment horizontal="left" vertical="top" indent="1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3" fontId="32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" fontId="91" fillId="101" borderId="83" applyNumberFormat="0" applyProtection="0">
      <alignment horizontal="right"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1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91" fillId="101" borderId="83" applyNumberFormat="0" applyProtection="0">
      <alignment horizontal="right" vertical="center"/>
    </xf>
    <xf numFmtId="40" fontId="4" fillId="0" borderId="0" applyFont="0" applyFill="0" applyBorder="0" applyProtection="0">
      <alignment horizontal="right"/>
    </xf>
    <xf numFmtId="3" fontId="4" fillId="0" borderId="0" applyFont="0" applyFill="0" applyBorder="0" applyAlignment="0" applyProtection="0"/>
    <xf numFmtId="189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0" fontId="4" fillId="0" borderId="0" applyFont="0" applyFill="0" applyBorder="0" applyAlignment="0" applyProtection="0"/>
    <xf numFmtId="6" fontId="4" fillId="0" borderId="0">
      <protection locked="0"/>
    </xf>
    <xf numFmtId="15" fontId="15" fillId="0" borderId="0" applyFill="0" applyBorder="0" applyAlignment="0" applyProtection="0"/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191" fontId="126" fillId="0" borderId="0" applyFont="0" applyFill="0" applyBorder="0" applyAlignment="0" applyProtection="0"/>
    <xf numFmtId="192" fontId="4" fillId="0" borderId="0">
      <protection locked="0"/>
    </xf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5" fontId="126" fillId="0" borderId="67" applyNumberFormat="0" applyFont="0" applyFill="0" applyAlignment="0" applyProtection="0"/>
    <xf numFmtId="196" fontId="4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39" fontId="83" fillId="0" borderId="0"/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Fill="0" applyBorder="0" applyProtection="0">
      <alignment horizontal="left"/>
    </xf>
    <xf numFmtId="37" fontId="25" fillId="0" borderId="0"/>
    <xf numFmtId="0" fontId="131" fillId="113" borderId="0" applyNumberFormat="0" applyBorder="0" applyAlignment="0" applyProtection="0"/>
    <xf numFmtId="0" fontId="131" fillId="113" borderId="0" applyNumberFormat="0" applyBorder="0" applyAlignment="0" applyProtection="0"/>
    <xf numFmtId="38" fontId="25" fillId="4" borderId="0" applyNumberFormat="0" applyBorder="0" applyAlignment="0" applyProtection="0"/>
    <xf numFmtId="198" fontId="126" fillId="0" borderId="0" applyFont="0" applyFill="0" applyBorder="0" applyAlignment="0" applyProtection="0">
      <alignment horizontal="right"/>
    </xf>
    <xf numFmtId="0" fontId="132" fillId="0" borderId="0" applyNumberFormat="0" applyFill="0" applyBorder="0" applyAlignment="0" applyProtection="0"/>
    <xf numFmtId="0" fontId="22" fillId="0" borderId="0" applyFill="0" applyBorder="0" applyProtection="0">
      <alignment horizontal="right"/>
    </xf>
    <xf numFmtId="0" fontId="133" fillId="0" borderId="68" applyNumberFormat="0" applyFill="0" applyAlignment="0" applyProtection="0"/>
    <xf numFmtId="0" fontId="133" fillId="0" borderId="68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23" fillId="0" borderId="71" applyNumberFormat="0" applyFill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99" fontId="137" fillId="0" borderId="0"/>
    <xf numFmtId="10" fontId="25" fillId="72" borderId="61" applyNumberFormat="0" applyBorder="0" applyAlignment="0" applyProtection="0"/>
    <xf numFmtId="0" fontId="138" fillId="116" borderId="66" applyNumberFormat="0" applyAlignment="0" applyProtection="0"/>
    <xf numFmtId="0" fontId="138" fillId="116" borderId="66" applyNumberFormat="0" applyAlignment="0" applyProtection="0"/>
    <xf numFmtId="10" fontId="25" fillId="72" borderId="0">
      <protection locked="0"/>
    </xf>
    <xf numFmtId="0" fontId="139" fillId="0" borderId="72">
      <alignment horizontal="right"/>
    </xf>
    <xf numFmtId="0" fontId="139" fillId="0" borderId="72">
      <alignment horizontal="left"/>
    </xf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186" fontId="25" fillId="0" borderId="0" applyNumberFormat="0" applyFont="0" applyFill="0" applyBorder="0" applyAlignment="0">
      <protection hidden="1"/>
    </xf>
    <xf numFmtId="200" fontId="127" fillId="0" borderId="49">
      <alignment horizontal="right"/>
    </xf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126" fillId="0" borderId="0" applyFont="0" applyFill="0" applyBorder="0" applyAlignment="0" applyProtection="0">
      <alignment horizontal="right"/>
    </xf>
    <xf numFmtId="0" fontId="141" fillId="82" borderId="0" applyNumberFormat="0" applyBorder="0" applyAlignment="0" applyProtection="0"/>
    <xf numFmtId="0" fontId="141" fillId="82" borderId="0" applyNumberFormat="0" applyBorder="0" applyAlignment="0" applyProtection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199" fontId="14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75" fontId="25" fillId="0" borderId="0">
      <alignment horizontal="left" wrapText="1"/>
    </xf>
    <xf numFmtId="175" fontId="4" fillId="0" borderId="0">
      <alignment horizontal="left" wrapText="1"/>
    </xf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2" fillId="0" borderId="0"/>
    <xf numFmtId="175" fontId="4" fillId="0" borderId="0">
      <alignment horizontal="left" wrapText="1"/>
    </xf>
    <xf numFmtId="175" fontId="4" fillId="0" borderId="0">
      <alignment horizontal="left" wrapText="1"/>
    </xf>
    <xf numFmtId="0" fontId="32" fillId="0" borderId="0"/>
    <xf numFmtId="175" fontId="25" fillId="0" borderId="0">
      <alignment horizontal="left" wrapText="1"/>
    </xf>
    <xf numFmtId="0" fontId="32" fillId="0" borderId="0"/>
    <xf numFmtId="37" fontId="118" fillId="0" borderId="0"/>
    <xf numFmtId="37" fontId="1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86" fontId="15" fillId="0" borderId="0" applyNumberFormat="0" applyFill="0" applyBorder="0" applyAlignment="0" applyProtection="0"/>
    <xf numFmtId="0" fontId="32" fillId="11" borderId="20" applyNumberFormat="0" applyFont="0" applyAlignment="0" applyProtection="0"/>
    <xf numFmtId="0" fontId="43" fillId="108" borderId="74" applyNumberFormat="0" applyFont="0" applyAlignment="0" applyProtection="0"/>
    <xf numFmtId="0" fontId="43" fillId="108" borderId="74" applyNumberFormat="0" applyFont="0" applyAlignment="0" applyProtection="0"/>
    <xf numFmtId="0" fontId="143" fillId="104" borderId="36" applyNumberFormat="0" applyAlignment="0" applyProtection="0"/>
    <xf numFmtId="0" fontId="143" fillId="104" borderId="36" applyNumberFormat="0" applyAlignment="0" applyProtection="0"/>
    <xf numFmtId="1" fontId="144" fillId="0" borderId="0" applyProtection="0">
      <alignment horizontal="right" vertical="center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7" fillId="0" borderId="0" applyFont="0" applyFill="0" applyBorder="0" applyAlignment="0" applyProtection="0"/>
    <xf numFmtId="195" fontId="148" fillId="0" borderId="81" applyBorder="0" applyProtection="0">
      <alignment horizontal="right"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93" fontId="83" fillId="0" borderId="0" applyFont="0" applyFill="0" applyBorder="0" applyProtection="0">
      <alignment horizontal="right"/>
    </xf>
    <xf numFmtId="0" fontId="4" fillId="0" borderId="0">
      <protection locked="0"/>
    </xf>
    <xf numFmtId="0" fontId="26" fillId="0" borderId="0">
      <protection locked="0"/>
    </xf>
    <xf numFmtId="0" fontId="4" fillId="0" borderId="0">
      <protection locked="0"/>
    </xf>
    <xf numFmtId="0" fontId="7" fillId="0" borderId="0">
      <protection locked="0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72">
      <alignment horizontal="center"/>
    </xf>
    <xf numFmtId="0" fontId="84" fillId="0" borderId="72">
      <alignment horizontal="center"/>
    </xf>
    <xf numFmtId="0" fontId="84" fillId="0" borderId="72">
      <alignment horizontal="center"/>
    </xf>
    <xf numFmtId="0" fontId="84" fillId="0" borderId="72">
      <alignment horizontal="center"/>
    </xf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0" fontId="83" fillId="81" borderId="0" applyNumberFormat="0" applyFont="0" applyBorder="0" applyAlignment="0" applyProtection="0"/>
    <xf numFmtId="203" fontId="145" fillId="0" borderId="0"/>
    <xf numFmtId="204" fontId="83" fillId="0" borderId="0" applyFont="0" applyFill="0" applyBorder="0" applyProtection="0">
      <alignment horizontal="right"/>
    </xf>
    <xf numFmtId="205" fontId="83" fillId="0" borderId="0" applyFont="0" applyFill="0" applyBorder="0" applyProtection="0">
      <alignment horizontal="right"/>
    </xf>
    <xf numFmtId="204" fontId="83" fillId="0" borderId="0" applyFont="0" applyFill="0" applyBorder="0" applyProtection="0">
      <alignment horizontal="right"/>
    </xf>
    <xf numFmtId="184" fontId="121" fillId="0" borderId="0" applyFill="0" applyBorder="0" applyProtection="0">
      <alignment horizontal="right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3" fontId="127" fillId="0" borderId="82"/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8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4" fontId="4" fillId="0" borderId="0" applyFont="0" applyFill="0" applyBorder="0" applyAlignment="0" applyProtection="0"/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1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90" borderId="83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43" fillId="102" borderId="83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85" fillId="72" borderId="22" applyNumberFormat="0" applyProtection="0">
      <alignment vertical="center"/>
    </xf>
    <xf numFmtId="0" fontId="4" fillId="66" borderId="83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38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36" fillId="66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14" fillId="0" borderId="0" applyFill="0" applyBorder="0" applyProtection="0">
      <alignment horizontal="left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3" fillId="121" borderId="75" applyNumberFormat="0" applyFont="0" applyAlignment="0" applyProtection="0"/>
    <xf numFmtId="0" fontId="4" fillId="122" borderId="0"/>
    <xf numFmtId="12" fontId="4" fillId="0" borderId="0" applyFont="0" applyFill="0" applyBorder="0" applyProtection="0">
      <alignment horizontal="right"/>
    </xf>
    <xf numFmtId="206" fontId="83" fillId="123" borderId="0" applyFont="0" applyFill="0" applyBorder="0" applyProtection="0">
      <alignment horizontal="right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43" fillId="0" borderId="0" applyNumberFormat="0" applyBorder="0" applyAlignment="0"/>
    <xf numFmtId="0" fontId="146" fillId="0" borderId="0" applyNumberFormat="0" applyBorder="0" applyAlignment="0"/>
    <xf numFmtId="0" fontId="147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148" fillId="0" borderId="0" applyBorder="0" applyProtection="0">
      <alignment vertical="center"/>
    </xf>
    <xf numFmtId="195" fontId="148" fillId="0" borderId="60" applyBorder="0" applyProtection="0">
      <alignment horizontal="right" vertical="center"/>
    </xf>
    <xf numFmtId="0" fontId="149" fillId="124" borderId="0" applyBorder="0" applyProtection="0">
      <alignment horizontal="centerContinuous" vertical="center"/>
    </xf>
    <xf numFmtId="0" fontId="149" fillId="125" borderId="60" applyBorder="0" applyProtection="0">
      <alignment horizontal="centerContinuous" vertical="center"/>
    </xf>
    <xf numFmtId="0" fontId="139" fillId="0" borderId="0">
      <alignment horizontal="left"/>
      <protection locked="0"/>
    </xf>
    <xf numFmtId="0" fontId="150" fillId="0" borderId="0" applyFill="0" applyBorder="0" applyProtection="0">
      <alignment horizontal="left"/>
    </xf>
    <xf numFmtId="0" fontId="130" fillId="0" borderId="51" applyFill="0" applyBorder="0" applyProtection="0">
      <alignment horizontal="left" vertical="top"/>
    </xf>
    <xf numFmtId="42" fontId="25" fillId="126" borderId="0" applyNumberFormat="0" applyFont="0" applyBorder="0" applyAlignment="0" applyProtection="0"/>
    <xf numFmtId="0" fontId="25" fillId="0" borderId="0"/>
    <xf numFmtId="0" fontId="151" fillId="0" borderId="0" applyFill="0" applyBorder="0" applyProtection="0">
      <alignment horizontal="left" vertical="top"/>
    </xf>
    <xf numFmtId="0" fontId="152" fillId="0" borderId="0" applyFill="0" applyBorder="0" applyAlignment="0" applyProtection="0"/>
    <xf numFmtId="0" fontId="39" fillId="0" borderId="76" applyNumberFormat="0" applyFill="0" applyAlignment="0" applyProtection="0"/>
    <xf numFmtId="0" fontId="39" fillId="0" borderId="76" applyNumberFormat="0" applyFill="0" applyAlignment="0" applyProtection="0"/>
    <xf numFmtId="3" fontId="127" fillId="0" borderId="45"/>
    <xf numFmtId="38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207" fontId="83" fillId="0" borderId="0">
      <alignment horizontal="left"/>
      <protection locked="0"/>
    </xf>
    <xf numFmtId="186" fontId="153" fillId="0" borderId="0"/>
    <xf numFmtId="38" fontId="25" fillId="54" borderId="0" applyNumberFormat="0" applyBorder="0" applyAlignment="0" applyProtection="0"/>
    <xf numFmtId="37" fontId="25" fillId="4" borderId="0" applyNumberFormat="0" applyBorder="0" applyAlignment="0" applyProtection="0"/>
    <xf numFmtId="37" fontId="25" fillId="0" borderId="0"/>
    <xf numFmtId="37" fontId="25" fillId="54" borderId="0" applyNumberFormat="0" applyBorder="0" applyAlignment="0" applyProtection="0"/>
    <xf numFmtId="3" fontId="154" fillId="0" borderId="71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39" fillId="0" borderId="72">
      <alignment horizontal="right"/>
    </xf>
    <xf numFmtId="37" fontId="25" fillId="0" borderId="0"/>
    <xf numFmtId="208" fontId="25" fillId="0" borderId="0"/>
    <xf numFmtId="37" fontId="25" fillId="0" borderId="0"/>
    <xf numFmtId="4" fontId="91" fillId="101" borderId="83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37" fontId="118" fillId="0" borderId="0"/>
    <xf numFmtId="0" fontId="155" fillId="0" borderId="0"/>
    <xf numFmtId="0" fontId="18" fillId="0" borderId="0"/>
    <xf numFmtId="37" fontId="118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8" fillId="0" borderId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91" fillId="101" borderId="83" applyNumberFormat="0" applyProtection="0">
      <alignment horizontal="right" vertical="center"/>
    </xf>
    <xf numFmtId="41" fontId="4" fillId="0" borderId="0" applyFont="0" applyFill="0" applyBorder="0" applyAlignment="0" applyProtection="0"/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4" fillId="69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8" fontId="4" fillId="0" borderId="77" applyFont="0" applyFill="0" applyBorder="0" applyProtection="0">
      <alignment horizontal="right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6" fontId="4" fillId="0" borderId="0">
      <protection locked="0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5" fillId="0" borderId="78" applyNumberFormat="0" applyFill="0" applyAlignment="0" applyProtection="0"/>
    <xf numFmtId="0" fontId="45" fillId="0" borderId="78" applyNumberFormat="0" applyFill="0" applyAlignment="0" applyProtection="0"/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139" fillId="0" borderId="42">
      <alignment horizontal="right"/>
    </xf>
    <xf numFmtId="0" fontId="139" fillId="0" borderId="42">
      <alignment horizontal="left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143" fillId="104" borderId="79" applyNumberFormat="0" applyAlignment="0" applyProtection="0"/>
    <xf numFmtId="0" fontId="143" fillId="104" borderId="79" applyNumberFormat="0" applyAlignment="0" applyProtection="0"/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84" fillId="0" borderId="42">
      <alignment horizontal="center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108" borderId="89" applyNumberFormat="0" applyFont="0" applyAlignment="0" applyProtection="0"/>
    <xf numFmtId="0" fontId="43" fillId="108" borderId="89" applyNumberFormat="0" applyFont="0" applyAlignment="0" applyProtection="0"/>
    <xf numFmtId="0" fontId="138" fillId="116" borderId="88" applyNumberFormat="0" applyAlignment="0" applyProtection="0"/>
    <xf numFmtId="0" fontId="138" fillId="116" borderId="88" applyNumberFormat="0" applyAlignment="0" applyProtection="0"/>
    <xf numFmtId="10" fontId="25" fillId="72" borderId="86" applyNumberFormat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6" fontId="4" fillId="0" borderId="0">
      <protection locked="0"/>
    </xf>
    <xf numFmtId="44" fontId="4" fillId="0" borderId="0" applyFont="0" applyFill="0" applyBorder="0" applyAlignment="0" applyProtection="0"/>
    <xf numFmtId="0" fontId="124" fillId="104" borderId="88" applyNumberFormat="0" applyAlignment="0" applyProtection="0"/>
    <xf numFmtId="0" fontId="124" fillId="104" borderId="88" applyNumberFormat="0" applyAlignment="0" applyProtection="0"/>
    <xf numFmtId="0" fontId="123" fillId="0" borderId="87" applyFill="0" applyProtection="0">
      <alignment horizontal="right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" fontId="49" fillId="69" borderId="83" applyNumberFormat="0" applyProtection="0">
      <alignment horizontal="right" vertical="center"/>
    </xf>
    <xf numFmtId="0" fontId="25" fillId="73" borderId="86"/>
    <xf numFmtId="4" fontId="48" fillId="68" borderId="85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4" fillId="69" borderId="83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36" fillId="66" borderId="85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38" fillId="69" borderId="83" applyNumberFormat="0" applyProtection="0">
      <alignment vertical="center"/>
    </xf>
    <xf numFmtId="0" fontId="15" fillId="71" borderId="84" applyBorder="0"/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38" fillId="62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8" fillId="54" borderId="83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4" fontId="36" fillId="54" borderId="83" applyNumberFormat="0" applyProtection="0">
      <alignment vertical="center"/>
    </xf>
    <xf numFmtId="0" fontId="4" fillId="0" borderId="0"/>
    <xf numFmtId="195" fontId="148" fillId="0" borderId="44" applyBorder="0" applyProtection="0">
      <alignment horizontal="right" vertical="center"/>
    </xf>
    <xf numFmtId="0" fontId="149" fillId="125" borderId="44" applyBorder="0" applyProtection="0">
      <alignment horizontal="centerContinuous" vertical="center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0" fontId="139" fillId="0" borderId="42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03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81" fillId="79" borderId="79" applyNumberFormat="0" applyAlignment="0" applyProtection="0"/>
    <xf numFmtId="0" fontId="81" fillId="79" borderId="79" applyNumberFormat="0" applyAlignment="0" applyProtection="0"/>
    <xf numFmtId="4" fontId="36" fillId="54" borderId="83" applyNumberFormat="0" applyProtection="0">
      <alignment vertical="center"/>
    </xf>
    <xf numFmtId="4" fontId="43" fillId="54" borderId="79" applyNumberFormat="0" applyProtection="0">
      <alignment vertical="center"/>
    </xf>
    <xf numFmtId="4" fontId="43" fillId="54" borderId="79" applyNumberFormat="0" applyProtection="0">
      <alignment vertical="center"/>
    </xf>
    <xf numFmtId="4" fontId="85" fillId="54" borderId="79" applyNumberFormat="0" applyProtection="0">
      <alignment vertical="center"/>
    </xf>
    <xf numFmtId="4" fontId="37" fillId="54" borderId="83" applyNumberFormat="0" applyProtection="0">
      <alignment vertical="center"/>
    </xf>
    <xf numFmtId="4" fontId="38" fillId="54" borderId="83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0" fontId="87" fillId="82" borderId="83" applyNumberFormat="0" applyProtection="0">
      <alignment horizontal="left" vertical="top" indent="1"/>
    </xf>
    <xf numFmtId="4" fontId="43" fillId="5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43" fillId="57" borderId="79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58" borderId="79" applyNumberFormat="0" applyProtection="0">
      <alignment horizontal="right" vertical="center"/>
    </xf>
    <xf numFmtId="4" fontId="43" fillId="58" borderId="79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56" borderId="79" applyNumberFormat="0" applyProtection="0">
      <alignment horizontal="right" vertical="center"/>
    </xf>
    <xf numFmtId="4" fontId="43" fillId="56" borderId="79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63" borderId="79" applyNumberFormat="0" applyProtection="0">
      <alignment horizontal="right" vertical="center"/>
    </xf>
    <xf numFmtId="4" fontId="43" fillId="63" borderId="79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7" borderId="79" applyNumberFormat="0" applyProtection="0">
      <alignment horizontal="right" vertical="center"/>
    </xf>
    <xf numFmtId="4" fontId="43" fillId="97" borderId="79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39" fillId="99" borderId="79" applyNumberFormat="0" applyProtection="0">
      <alignment horizontal="left" vertical="center" indent="1"/>
    </xf>
    <xf numFmtId="4" fontId="39" fillId="98" borderId="62" applyNumberFormat="0" applyProtection="0">
      <alignment horizontal="left" vertical="center" indent="1"/>
    </xf>
    <xf numFmtId="4" fontId="36" fillId="65" borderId="62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38" fillId="66" borderId="83" applyNumberFormat="0" applyProtection="0">
      <alignment horizontal="right" vertical="center"/>
    </xf>
    <xf numFmtId="4" fontId="43" fillId="100" borderId="79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25" fillId="70" borderId="63" applyNumberFormat="0">
      <protection locked="0"/>
    </xf>
    <xf numFmtId="0" fontId="25" fillId="70" borderId="63" applyNumberFormat="0">
      <protection locked="0"/>
    </xf>
    <xf numFmtId="0" fontId="25" fillId="70" borderId="63" applyNumberFormat="0">
      <protection locked="0"/>
    </xf>
    <xf numFmtId="0" fontId="25" fillId="70" borderId="63" applyNumberFormat="0">
      <protection locked="0"/>
    </xf>
    <xf numFmtId="4" fontId="43" fillId="72" borderId="79" applyNumberFormat="0" applyProtection="0">
      <alignment vertical="center"/>
    </xf>
    <xf numFmtId="4" fontId="43" fillId="72" borderId="79" applyNumberFormat="0" applyProtection="0">
      <alignment vertical="center"/>
    </xf>
    <xf numFmtId="4" fontId="88" fillId="108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79" applyNumberFormat="0" applyProtection="0">
      <alignment vertical="center"/>
    </xf>
    <xf numFmtId="4" fontId="38" fillId="69" borderId="83" applyNumberFormat="0" applyProtection="0">
      <alignment vertical="center"/>
    </xf>
    <xf numFmtId="4" fontId="85" fillId="72" borderId="79" applyNumberFormat="0" applyProtection="0">
      <alignment vertical="center"/>
    </xf>
    <xf numFmtId="4" fontId="86" fillId="72" borderId="86" applyNumberFormat="0" applyProtection="0">
      <alignment vertical="center"/>
    </xf>
    <xf numFmtId="4" fontId="44" fillId="69" borderId="83" applyNumberFormat="0" applyProtection="0">
      <alignment vertical="center"/>
    </xf>
    <xf numFmtId="4" fontId="43" fillId="72" borderId="79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88" fillId="104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0" fontId="88" fillId="108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72" borderId="79" applyNumberFormat="0" applyProtection="0">
      <alignment horizontal="left" vertical="center" indent="1"/>
    </xf>
    <xf numFmtId="4" fontId="38" fillId="69" borderId="83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43" fillId="0" borderId="83" applyNumberFormat="0" applyProtection="0">
      <alignment horizontal="right" vertical="center"/>
    </xf>
    <xf numFmtId="4" fontId="43" fillId="0" borderId="83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85" fillId="100" borderId="79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36" fillId="66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43" fillId="0" borderId="83" applyNumberFormat="0" applyProtection="0">
      <alignment horizontal="left" vertical="center" indent="1"/>
    </xf>
    <xf numFmtId="4" fontId="43" fillId="0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88" fillId="102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48" fillId="68" borderId="85" applyNumberFormat="0" applyProtection="0">
      <alignment horizontal="left" vertical="center" indent="1"/>
    </xf>
    <xf numFmtId="0" fontId="25" fillId="73" borderId="86"/>
    <xf numFmtId="0" fontId="25" fillId="73" borderId="86"/>
    <xf numFmtId="0" fontId="25" fillId="73" borderId="86"/>
    <xf numFmtId="0" fontId="25" fillId="73" borderId="86"/>
    <xf numFmtId="0" fontId="25" fillId="73" borderId="86"/>
    <xf numFmtId="0" fontId="25" fillId="73" borderId="86"/>
    <xf numFmtId="0" fontId="25" fillId="73" borderId="86"/>
    <xf numFmtId="0" fontId="25" fillId="73" borderId="86"/>
    <xf numFmtId="0" fontId="25" fillId="73" borderId="86"/>
    <xf numFmtId="4" fontId="91" fillId="100" borderId="79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84" borderId="79" applyNumberFormat="0" applyProtection="0">
      <alignment horizontal="left" vertical="center" indent="1"/>
    </xf>
    <xf numFmtId="4" fontId="43" fillId="56" borderId="79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83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0" fontId="24" fillId="0" borderId="0"/>
    <xf numFmtId="43" fontId="24" fillId="0" borderId="0" applyFont="0" applyFill="0" applyBorder="0" applyAlignment="0" applyProtection="0"/>
    <xf numFmtId="4" fontId="39" fillId="82" borderId="83" applyNumberForma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" fontId="43" fillId="88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0" borderId="83" applyNumberFormat="0" applyProtection="0">
      <alignment horizontal="left" vertical="center" indent="1"/>
    </xf>
    <xf numFmtId="4" fontId="43" fillId="0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3" fillId="108" borderId="89" applyNumberFormat="0" applyFont="0" applyAlignment="0" applyProtection="0"/>
    <xf numFmtId="4" fontId="43" fillId="90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43" fillId="63" borderId="79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0" fontId="2" fillId="0" borderId="0"/>
    <xf numFmtId="0" fontId="2" fillId="0" borderId="0"/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6" borderId="30" applyNumberFormat="0" applyProtection="0">
      <alignment horizontal="right" vertical="center"/>
    </xf>
    <xf numFmtId="4" fontId="39" fillId="82" borderId="83" applyNumberFormat="0" applyProtection="0">
      <alignment vertical="center"/>
    </xf>
    <xf numFmtId="4" fontId="43" fillId="54" borderId="79" applyNumberFormat="0" applyProtection="0">
      <alignment vertical="center"/>
    </xf>
    <xf numFmtId="4" fontId="85" fillId="54" borderId="79" applyNumberFormat="0" applyProtection="0">
      <alignment vertical="center"/>
    </xf>
    <xf numFmtId="4" fontId="43" fillId="88" borderId="83" applyNumberFormat="0" applyProtection="0">
      <alignment horizontal="right" vertical="center"/>
    </xf>
    <xf numFmtId="4" fontId="43" fillId="56" borderId="79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4" fontId="43" fillId="54" borderId="79" applyNumberFormat="0" applyProtection="0">
      <alignment vertical="center"/>
    </xf>
    <xf numFmtId="0" fontId="25" fillId="105" borderId="30" applyNumberFormat="0" applyProtection="0">
      <alignment horizontal="left" vertical="center" indent="1"/>
    </xf>
    <xf numFmtId="0" fontId="125" fillId="120" borderId="59" applyNumberFormat="0" applyAlignment="0" applyProtection="0"/>
    <xf numFmtId="0" fontId="88" fillId="102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4" fontId="43" fillId="64" borderId="79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25" fillId="94" borderId="30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0" fontId="25" fillId="107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4" fontId="38" fillId="54" borderId="83" applyNumberFormat="0" applyProtection="0">
      <alignment horizontal="left" vertical="center" indent="1"/>
    </xf>
    <xf numFmtId="4" fontId="90" fillId="109" borderId="37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88" fillId="102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36" fillId="66" borderId="83" applyNumberFormat="0" applyProtection="0">
      <alignment horizontal="left" vertical="center" indent="1"/>
    </xf>
    <xf numFmtId="4" fontId="44" fillId="69" borderId="83" applyNumberFormat="0" applyProtection="0">
      <alignment horizontal="right" vertical="center"/>
    </xf>
    <xf numFmtId="4" fontId="86" fillId="67" borderId="30" applyNumberFormat="0" applyProtection="0">
      <alignment horizontal="right" vertical="center"/>
    </xf>
    <xf numFmtId="4" fontId="85" fillId="10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83" applyNumberFormat="0" applyProtection="0">
      <alignment horizontal="right" vertical="center"/>
    </xf>
    <xf numFmtId="4" fontId="43" fillId="0" borderId="83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4" fontId="43" fillId="72" borderId="79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88" fillId="108" borderId="83" applyNumberFormat="0" applyProtection="0">
      <alignment horizontal="left" vertical="top" indent="1"/>
    </xf>
    <xf numFmtId="4" fontId="43" fillId="72" borderId="79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88" fillId="104" borderId="83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86" fillId="72" borderId="86" applyNumberFormat="0" applyProtection="0">
      <alignment vertical="center"/>
    </xf>
    <xf numFmtId="4" fontId="85" fillId="72" borderId="79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79" applyNumberFormat="0" applyProtection="0">
      <alignment vertical="center"/>
    </xf>
    <xf numFmtId="4" fontId="43" fillId="72" borderId="83" applyNumberFormat="0" applyProtection="0">
      <alignment vertical="center"/>
    </xf>
    <xf numFmtId="4" fontId="88" fillId="108" borderId="83" applyNumberFormat="0" applyProtection="0">
      <alignment vertical="center"/>
    </xf>
    <xf numFmtId="4" fontId="43" fillId="72" borderId="79" applyNumberFormat="0" applyProtection="0">
      <alignment vertical="center"/>
    </xf>
    <xf numFmtId="4" fontId="43" fillId="72" borderId="79" applyNumberFormat="0" applyProtection="0">
      <alignment vertical="center"/>
    </xf>
    <xf numFmtId="4" fontId="38" fillId="62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43" fillId="103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0" fontId="15" fillId="71" borderId="84" applyBorder="0"/>
    <xf numFmtId="4" fontId="38" fillId="69" borderId="83" applyNumberFormat="0" applyProtection="0">
      <alignment vertical="center"/>
    </xf>
    <xf numFmtId="4" fontId="43" fillId="100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38" fillId="66" borderId="83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4" fillId="71" borderId="37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0" fontId="25" fillId="73" borderId="86"/>
    <xf numFmtId="4" fontId="43" fillId="96" borderId="83" applyNumberFormat="0" applyProtection="0">
      <alignment horizontal="right" vertical="center"/>
    </xf>
    <xf numFmtId="4" fontId="4" fillId="71" borderId="37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39" fillId="99" borderId="79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38" fillId="62" borderId="83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43" fillId="97" borderId="79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7" borderId="79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63" borderId="79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56" borderId="79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43" fillId="58" borderId="79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58" borderId="79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0" fontId="87" fillId="82" borderId="83" applyNumberFormat="0" applyProtection="0">
      <alignment horizontal="left" vertical="top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4" fontId="86" fillId="54" borderId="30" applyNumberFormat="0" applyProtection="0">
      <alignment vertical="center"/>
    </xf>
    <xf numFmtId="4" fontId="85" fillId="54" borderId="79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43" fillId="54" borderId="79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36" fillId="54" borderId="83" applyNumberFormat="0" applyProtection="0">
      <alignment vertical="center"/>
    </xf>
    <xf numFmtId="4" fontId="43" fillId="0" borderId="83" applyNumberFormat="0" applyProtection="0">
      <alignment horizontal="left" vertical="center" indent="1"/>
    </xf>
    <xf numFmtId="0" fontId="84" fillId="0" borderId="11">
      <alignment horizontal="center"/>
    </xf>
    <xf numFmtId="0" fontId="4" fillId="4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0" fontId="25" fillId="101" borderId="30" applyNumberFormat="0" applyProtection="0">
      <alignment horizontal="left" vertical="center" indent="1"/>
    </xf>
    <xf numFmtId="0" fontId="81" fillId="79" borderId="79" applyNumberFormat="0" applyAlignment="0" applyProtection="0"/>
    <xf numFmtId="0" fontId="81" fillId="79" borderId="79" applyNumberForma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73" borderId="86"/>
    <xf numFmtId="4" fontId="38" fillId="64" borderId="83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37" fillId="54" borderId="83" applyNumberFormat="0" applyProtection="0">
      <alignment vertical="center"/>
    </xf>
    <xf numFmtId="0" fontId="25" fillId="105" borderId="30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36" fillId="54" borderId="83" applyNumberFormat="0" applyProtection="0">
      <alignment vertical="center"/>
    </xf>
    <xf numFmtId="4" fontId="43" fillId="102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0" fontId="4" fillId="106" borderId="79" applyNumberFormat="0" applyProtection="0">
      <alignment horizontal="left" vertical="center" indent="1"/>
    </xf>
    <xf numFmtId="0" fontId="25" fillId="48" borderId="30" applyNumberFormat="0" applyFont="0" applyAlignment="0" applyProtection="0"/>
    <xf numFmtId="0" fontId="81" fillId="79" borderId="79" applyNumberFormat="0" applyAlignment="0" applyProtection="0"/>
    <xf numFmtId="4" fontId="39" fillId="82" borderId="83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86" fillId="54" borderId="30" applyNumberFormat="0" applyProtection="0">
      <alignment vertical="center"/>
    </xf>
    <xf numFmtId="4" fontId="38" fillId="54" borderId="83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73" fillId="49" borderId="30" applyNumberFormat="0" applyAlignment="0" applyProtection="0"/>
    <xf numFmtId="0" fontId="73" fillId="49" borderId="30" applyNumberFormat="0" applyAlignment="0" applyProtection="0"/>
    <xf numFmtId="4" fontId="25" fillId="85" borderId="30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0" fontId="4" fillId="103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25" fillId="54" borderId="30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4" fontId="43" fillId="72" borderId="83" applyNumberFormat="0" applyProtection="0">
      <alignment vertical="center"/>
    </xf>
    <xf numFmtId="4" fontId="43" fillId="101" borderId="83" applyNumberFormat="0" applyProtection="0">
      <alignment horizontal="right" vertical="center"/>
    </xf>
    <xf numFmtId="0" fontId="60" fillId="79" borderId="30" applyNumberFormat="0" applyAlignment="0" applyProtection="0"/>
    <xf numFmtId="0" fontId="60" fillId="79" borderId="30" applyNumberFormat="0" applyAlignment="0" applyProtection="0"/>
    <xf numFmtId="0" fontId="4" fillId="68" borderId="83" applyNumberFormat="0" applyProtection="0">
      <alignment horizontal="left" vertical="top" indent="1"/>
    </xf>
    <xf numFmtId="4" fontId="38" fillId="59" borderId="83" applyNumberFormat="0" applyProtection="0">
      <alignment horizontal="right" vertical="center"/>
    </xf>
    <xf numFmtId="0" fontId="25" fillId="48" borderId="30" applyNumberFormat="0" applyFont="0" applyAlignment="0" applyProtection="0"/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9" fillId="54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36" fillId="54" borderId="83" applyNumberFormat="0" applyProtection="0">
      <alignment vertical="center"/>
    </xf>
    <xf numFmtId="4" fontId="38" fillId="54" borderId="83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95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0" fontId="60" fillId="79" borderId="30" applyNumberFormat="0" applyAlignment="0" applyProtection="0"/>
    <xf numFmtId="4" fontId="39" fillId="82" borderId="83" applyNumberFormat="0" applyProtection="0">
      <alignment vertical="center"/>
    </xf>
    <xf numFmtId="4" fontId="91" fillId="100" borderId="79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58" borderId="79" applyNumberFormat="0" applyProtection="0">
      <alignment horizontal="right"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0" fontId="4" fillId="8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3" fillId="61" borderId="79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36" fillId="65" borderId="62" applyNumberFormat="0" applyProtection="0">
      <alignment horizontal="left" vertical="center" indent="1"/>
    </xf>
    <xf numFmtId="4" fontId="25" fillId="0" borderId="30" applyNumberFormat="0" applyProtection="0">
      <alignment horizontal="right" vertical="center"/>
    </xf>
    <xf numFmtId="4" fontId="43" fillId="0" borderId="83" applyNumberFormat="0" applyProtection="0">
      <alignment horizontal="right" vertical="center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4" fontId="43" fillId="0" borderId="79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25" fillId="0" borderId="30" applyNumberFormat="0" applyProtection="0">
      <alignment horizontal="right" vertical="center"/>
    </xf>
    <xf numFmtId="0" fontId="4" fillId="4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0" fontId="25" fillId="48" borderId="30" applyNumberFormat="0" applyFont="0" applyAlignment="0" applyProtection="0"/>
    <xf numFmtId="4" fontId="25" fillId="90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9" fontId="95" fillId="110" borderId="39"/>
    <xf numFmtId="4" fontId="92" fillId="70" borderId="30" applyNumberFormat="0" applyProtection="0">
      <alignment horizontal="right" vertical="center"/>
    </xf>
    <xf numFmtId="0" fontId="25" fillId="73" borderId="86"/>
    <xf numFmtId="0" fontId="25" fillId="73" borderId="86"/>
    <xf numFmtId="4" fontId="25" fillId="83" borderId="30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4" fontId="25" fillId="0" borderId="30" applyNumberFormat="0" applyProtection="0">
      <alignment horizontal="right" vertical="center"/>
    </xf>
    <xf numFmtId="0" fontId="4" fillId="0" borderId="79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0" fontId="25" fillId="102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0" fontId="130" fillId="0" borderId="51" applyFill="0" applyBorder="0" applyProtection="0">
      <alignment horizontal="left" vertical="top"/>
    </xf>
    <xf numFmtId="0" fontId="4" fillId="4" borderId="79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15" fillId="71" borderId="84" applyBorder="0"/>
    <xf numFmtId="0" fontId="4" fillId="0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4" fontId="43" fillId="72" borderId="79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25" fillId="48" borderId="30" applyNumberFormat="0" applyFont="0" applyAlignment="0" applyProtection="0"/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35" fillId="0" borderId="40" applyNumberFormat="0" applyFill="0" applyAlignment="0" applyProtection="0"/>
    <xf numFmtId="4" fontId="91" fillId="101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25" fillId="101" borderId="37" applyNumberFormat="0" applyProtection="0">
      <alignment horizontal="left" vertical="center" indent="1"/>
    </xf>
    <xf numFmtId="0" fontId="25" fillId="73" borderId="86"/>
    <xf numFmtId="0" fontId="25" fillId="70" borderId="63" applyNumberFormat="0">
      <protection locked="0"/>
    </xf>
    <xf numFmtId="4" fontId="25" fillId="0" borderId="30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88" fillId="108" borderId="83" applyNumberFormat="0" applyProtection="0">
      <alignment vertical="center"/>
    </xf>
    <xf numFmtId="4" fontId="91" fillId="101" borderId="83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43" fillId="89" borderId="83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0" fontId="35" fillId="0" borderId="40" applyNumberFormat="0" applyFill="0" applyAlignment="0" applyProtection="0"/>
    <xf numFmtId="4" fontId="25" fillId="89" borderId="30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4" fillId="55" borderId="83" applyNumberFormat="0" applyProtection="0">
      <alignment horizontal="left" vertical="center" indent="1"/>
    </xf>
    <xf numFmtId="4" fontId="43" fillId="85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0" borderId="83" applyNumberFormat="0" applyProtection="0">
      <alignment horizontal="right" vertical="center"/>
    </xf>
    <xf numFmtId="4" fontId="38" fillId="69" borderId="83" applyNumberFormat="0" applyProtection="0">
      <alignment vertical="center"/>
    </xf>
    <xf numFmtId="4" fontId="25" fillId="88" borderId="37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9" fillId="69" borderId="83" applyNumberFormat="0" applyProtection="0">
      <alignment horizontal="right" vertical="center"/>
    </xf>
    <xf numFmtId="0" fontId="25" fillId="73" borderId="86"/>
    <xf numFmtId="4" fontId="48" fillId="68" borderId="85" applyNumberFormat="0" applyProtection="0">
      <alignment horizontal="left" vertical="center" indent="1"/>
    </xf>
    <xf numFmtId="4" fontId="38" fillId="58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36" fillId="66" borderId="83" applyNumberFormat="0" applyProtection="0">
      <alignment horizontal="left" vertical="center" indent="1"/>
    </xf>
    <xf numFmtId="4" fontId="44" fillId="69" borderId="83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4" fontId="36" fillId="66" borderId="85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38" fillId="69" borderId="83" applyNumberFormat="0" applyProtection="0">
      <alignment vertical="center"/>
    </xf>
    <xf numFmtId="0" fontId="15" fillId="71" borderId="84" applyBorder="0"/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4" fontId="38" fillId="69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0" fontId="25" fillId="107" borderId="30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25" fillId="98" borderId="37" applyNumberFormat="0" applyProtection="0">
      <alignment horizontal="left" vertical="center" indent="1"/>
    </xf>
    <xf numFmtId="4" fontId="38" fillId="62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0" fontId="25" fillId="102" borderId="83" applyNumberFormat="0" applyProtection="0">
      <alignment horizontal="left" vertical="top" indent="1"/>
    </xf>
    <xf numFmtId="4" fontId="38" fillId="59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0" fontId="73" fillId="49" borderId="30" applyNumberFormat="0" applyAlignment="0" applyProtection="0"/>
    <xf numFmtId="4" fontId="38" fillId="58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8" fillId="54" borderId="83" applyNumberFormat="0" applyProtection="0">
      <alignment horizontal="left" vertical="center" indent="1"/>
    </xf>
    <xf numFmtId="4" fontId="36" fillId="54" borderId="83" applyNumberFormat="0" applyProtection="0">
      <alignment vertical="center"/>
    </xf>
    <xf numFmtId="4" fontId="43" fillId="97" borderId="79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25" fillId="8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88" borderId="83" applyNumberFormat="0" applyProtection="0">
      <alignment horizontal="right" vertical="center"/>
    </xf>
    <xf numFmtId="0" fontId="4" fillId="106" borderId="79" applyNumberFormat="0" applyProtection="0">
      <alignment horizontal="left" vertical="center" indent="1"/>
    </xf>
    <xf numFmtId="4" fontId="43" fillId="92" borderId="83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25" fillId="101" borderId="37" applyNumberFormat="0" applyProtection="0">
      <alignment horizontal="left" vertical="center" indent="1"/>
    </xf>
    <xf numFmtId="4" fontId="36" fillId="66" borderId="83" applyNumberFormat="0" applyProtection="0">
      <alignment horizontal="left" vertical="center" indent="1"/>
    </xf>
    <xf numFmtId="4" fontId="38" fillId="66" borderId="83" applyNumberFormat="0" applyProtection="0">
      <alignment horizontal="right" vertical="center"/>
    </xf>
    <xf numFmtId="0" fontId="25" fillId="73" borderId="86"/>
    <xf numFmtId="0" fontId="25" fillId="101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49" fillId="69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72" borderId="79" applyNumberFormat="0" applyProtection="0">
      <alignment vertical="center"/>
    </xf>
    <xf numFmtId="4" fontId="25" fillId="98" borderId="37" applyNumberFormat="0" applyProtection="0">
      <alignment horizontal="left" vertical="center" indent="1"/>
    </xf>
    <xf numFmtId="0" fontId="60" fillId="79" borderId="30" applyNumberFormat="0" applyAlignment="0" applyProtection="0"/>
    <xf numFmtId="4" fontId="43" fillId="100" borderId="79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8" borderId="37" applyNumberFormat="0" applyProtection="0">
      <alignment horizontal="right" vertical="center"/>
    </xf>
    <xf numFmtId="4" fontId="43" fillId="54" borderId="79" applyNumberFormat="0" applyProtection="0">
      <alignment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0" fontId="2" fillId="0" borderId="0"/>
    <xf numFmtId="0" fontId="4" fillId="0" borderId="0"/>
    <xf numFmtId="0" fontId="130" fillId="0" borderId="93" applyFill="0" applyBorder="0" applyProtection="0">
      <alignment horizontal="left" vertical="top"/>
    </xf>
    <xf numFmtId="0" fontId="56" fillId="32" borderId="0" applyNumberFormat="0" applyBorder="0" applyAlignment="0" applyProtection="0"/>
    <xf numFmtId="0" fontId="4" fillId="84" borderId="79" applyNumberFormat="0" applyProtection="0">
      <alignment horizontal="left" vertical="center" indent="1"/>
    </xf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3" fillId="0" borderId="0"/>
    <xf numFmtId="0" fontId="2" fillId="0" borderId="0"/>
    <xf numFmtId="0" fontId="25" fillId="80" borderId="0"/>
    <xf numFmtId="0" fontId="25" fillId="8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71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25" fillId="70" borderId="63" applyNumberFormat="0">
      <protection locked="0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25" fillId="73" borderId="86"/>
    <xf numFmtId="43" fontId="4" fillId="0" borderId="0" applyFont="0" applyFill="0" applyBorder="0" applyAlignment="0" applyProtection="0"/>
    <xf numFmtId="0" fontId="4" fillId="0" borderId="0"/>
    <xf numFmtId="0" fontId="4" fillId="106" borderId="79" applyNumberFormat="0" applyProtection="0">
      <alignment horizontal="left" vertical="center" indent="1"/>
    </xf>
    <xf numFmtId="0" fontId="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77" borderId="59" applyNumberFormat="0" applyAlignment="0" applyProtection="0"/>
    <xf numFmtId="0" fontId="62" fillId="77" borderId="59" applyNumberFormat="0" applyAlignment="0" applyProtection="0"/>
    <xf numFmtId="44" fontId="2" fillId="0" borderId="0" applyFont="0" applyFill="0" applyBorder="0" applyAlignment="0" applyProtection="0"/>
    <xf numFmtId="4" fontId="91" fillId="101" borderId="83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5" fillId="101" borderId="83" applyNumberFormat="0" applyProtection="0">
      <alignment horizontal="right" vertical="center"/>
    </xf>
    <xf numFmtId="4" fontId="38" fillId="54" borderId="83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5" fillId="72" borderId="83" applyNumberFormat="0" applyProtection="0">
      <alignment vertical="center"/>
    </xf>
    <xf numFmtId="0" fontId="25" fillId="73" borderId="86"/>
    <xf numFmtId="0" fontId="4" fillId="0" borderId="0"/>
    <xf numFmtId="0" fontId="25" fillId="107" borderId="30" applyNumberFormat="0" applyProtection="0">
      <alignment horizontal="left" vertical="center" indent="1"/>
    </xf>
    <xf numFmtId="0" fontId="124" fillId="104" borderId="88" applyNumberFormat="0" applyAlignment="0" applyProtection="0"/>
    <xf numFmtId="0" fontId="124" fillId="104" borderId="88" applyNumberFormat="0" applyAlignment="0" applyProtection="0"/>
    <xf numFmtId="0" fontId="45" fillId="0" borderId="78" applyNumberFormat="0" applyFill="0" applyAlignment="0" applyProtection="0"/>
    <xf numFmtId="0" fontId="45" fillId="0" borderId="78" applyNumberFormat="0" applyFill="0" applyAlignment="0" applyProtection="0"/>
    <xf numFmtId="0" fontId="138" fillId="116" borderId="88" applyNumberFormat="0" applyAlignment="0" applyProtection="0"/>
    <xf numFmtId="0" fontId="138" fillId="116" borderId="88" applyNumberFormat="0" applyAlignment="0" applyProtection="0"/>
    <xf numFmtId="0" fontId="43" fillId="108" borderId="89" applyNumberFormat="0" applyFont="0" applyAlignment="0" applyProtection="0"/>
    <xf numFmtId="0" fontId="43" fillId="108" borderId="89" applyNumberFormat="0" applyFont="0" applyAlignment="0" applyProtection="0"/>
    <xf numFmtId="0" fontId="143" fillId="104" borderId="79" applyNumberFormat="0" applyAlignment="0" applyProtection="0"/>
    <xf numFmtId="0" fontId="143" fillId="104" borderId="79" applyNumberFormat="0" applyAlignment="0" applyProtection="0"/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149" fillId="125" borderId="60" applyBorder="0" applyProtection="0">
      <alignment horizontal="centerContinuous" vertical="center"/>
    </xf>
    <xf numFmtId="0" fontId="4" fillId="55" borderId="83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0" borderId="0"/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56" fillId="28" borderId="0" applyNumberFormat="0" applyBorder="0" applyAlignment="0" applyProtection="0"/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80" borderId="0"/>
    <xf numFmtId="0" fontId="139" fillId="0" borderId="72">
      <alignment horizontal="right"/>
    </xf>
    <xf numFmtId="0" fontId="139" fillId="0" borderId="72">
      <alignment horizontal="left"/>
    </xf>
    <xf numFmtId="0" fontId="84" fillId="0" borderId="72">
      <alignment horizontal="center"/>
    </xf>
    <xf numFmtId="9" fontId="4" fillId="0" borderId="0" applyFont="0" applyFill="0" applyBorder="0" applyAlignment="0" applyProtection="0"/>
    <xf numFmtId="0" fontId="4" fillId="4" borderId="79" applyNumberFormat="0" applyProtection="0">
      <alignment horizontal="left" vertical="center" indent="1"/>
    </xf>
    <xf numFmtId="0" fontId="4" fillId="0" borderId="0"/>
    <xf numFmtId="0" fontId="4" fillId="0" borderId="0"/>
    <xf numFmtId="9" fontId="4" fillId="0" borderId="0" applyFont="0" applyFill="0" applyBorder="0" applyAlignment="0" applyProtection="0"/>
    <xf numFmtId="4" fontId="86" fillId="72" borderId="86" applyNumberFormat="0" applyProtection="0">
      <alignment vertical="center"/>
    </xf>
    <xf numFmtId="4" fontId="36" fillId="65" borderId="62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195" fontId="148" fillId="0" borderId="81" applyBorder="0" applyProtection="0">
      <alignment horizontal="right" vertical="center"/>
    </xf>
    <xf numFmtId="0" fontId="149" fillId="125" borderId="81" applyBorder="0" applyProtection="0">
      <alignment horizontal="centerContinuous" vertical="center"/>
    </xf>
    <xf numFmtId="0" fontId="139" fillId="0" borderId="72">
      <alignment horizontal="right"/>
    </xf>
    <xf numFmtId="0" fontId="4" fillId="0" borderId="0"/>
    <xf numFmtId="4" fontId="48" fillId="68" borderId="85" applyNumberFormat="0" applyProtection="0">
      <alignment horizontal="left" vertical="center" indent="1"/>
    </xf>
    <xf numFmtId="0" fontId="25" fillId="73" borderId="86"/>
    <xf numFmtId="0" fontId="25" fillId="73" borderId="86"/>
    <xf numFmtId="0" fontId="25" fillId="73" borderId="86"/>
    <xf numFmtId="0" fontId="25" fillId="73" borderId="86"/>
    <xf numFmtId="0" fontId="25" fillId="73" borderId="86"/>
    <xf numFmtId="0" fontId="25" fillId="73" borderId="86"/>
    <xf numFmtId="0" fontId="25" fillId="73" borderId="86"/>
    <xf numFmtId="0" fontId="25" fillId="73" borderId="86"/>
    <xf numFmtId="0" fontId="25" fillId="73" borderId="86"/>
    <xf numFmtId="4" fontId="91" fillId="100" borderId="79" applyNumberFormat="0" applyProtection="0">
      <alignment horizontal="right" vertical="center"/>
    </xf>
    <xf numFmtId="4" fontId="92" fillId="70" borderId="30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0" fontId="73" fillId="49" borderId="30" applyNumberFormat="0" applyAlignment="0" applyProtection="0"/>
    <xf numFmtId="4" fontId="25" fillId="83" borderId="30" applyNumberFormat="0" applyProtection="0">
      <alignment horizontal="left" vertical="center" indent="1"/>
    </xf>
    <xf numFmtId="49" fontId="95" fillId="110" borderId="39"/>
    <xf numFmtId="0" fontId="4" fillId="69" borderId="83" applyNumberFormat="0" applyProtection="0">
      <alignment horizontal="left" vertical="center" indent="1"/>
    </xf>
    <xf numFmtId="0" fontId="93" fillId="67" borderId="39">
      <protection locked="0"/>
    </xf>
    <xf numFmtId="0" fontId="25" fillId="102" borderId="83" applyNumberFormat="0" applyProtection="0">
      <alignment horizontal="left" vertical="top" indent="1"/>
    </xf>
    <xf numFmtId="4" fontId="25" fillId="102" borderId="30" applyNumberFormat="0" applyProtection="0">
      <alignment horizontal="right" vertical="center"/>
    </xf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4" fontId="38" fillId="69" borderId="83" applyNumberFormat="0" applyProtection="0">
      <alignment vertical="center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4" fontId="116" fillId="54" borderId="83" applyNumberFormat="0" applyProtection="0">
      <alignment vertical="center"/>
    </xf>
    <xf numFmtId="4" fontId="36" fillId="65" borderId="62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4" fontId="43" fillId="103" borderId="79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87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0" fontId="25" fillId="104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4" fontId="38" fillId="63" borderId="83" applyNumberFormat="0" applyProtection="0">
      <alignment horizontal="right" vertical="center"/>
    </xf>
    <xf numFmtId="0" fontId="4" fillId="0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90" borderId="30" applyNumberFormat="0" applyProtection="0">
      <alignment horizontal="right" vertical="center"/>
    </xf>
    <xf numFmtId="0" fontId="4" fillId="4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4" fontId="25" fillId="0" borderId="30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0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4" fontId="85" fillId="54" borderId="79" applyNumberFormat="0" applyProtection="0">
      <alignment vertical="center"/>
    </xf>
    <xf numFmtId="4" fontId="25" fillId="54" borderId="30" applyNumberFormat="0" applyProtection="0">
      <alignment horizontal="left" vertical="center" indent="1"/>
    </xf>
    <xf numFmtId="0" fontId="73" fillId="49" borderId="30" applyNumberFormat="0" applyAlignment="0" applyProtection="0"/>
    <xf numFmtId="4" fontId="25" fillId="86" borderId="30" applyNumberFormat="0" applyProtection="0">
      <alignment horizontal="right" vertical="center"/>
    </xf>
    <xf numFmtId="0" fontId="25" fillId="101" borderId="83" applyNumberFormat="0" applyProtection="0">
      <alignment horizontal="left" vertical="top" indent="1"/>
    </xf>
    <xf numFmtId="0" fontId="93" fillId="67" borderId="39">
      <protection locked="0"/>
    </xf>
    <xf numFmtId="0" fontId="60" fillId="79" borderId="30" applyNumberFormat="0" applyAlignment="0" applyProtection="0"/>
    <xf numFmtId="0" fontId="25" fillId="48" borderId="30" applyNumberFormat="0" applyFont="0" applyAlignment="0" applyProtection="0"/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25" fillId="89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0" fontId="25" fillId="73" borderId="86"/>
    <xf numFmtId="0" fontId="25" fillId="73" borderId="86"/>
    <xf numFmtId="4" fontId="48" fillId="68" borderId="85" applyNumberFormat="0" applyProtection="0">
      <alignment horizontal="left" vertical="center" indent="1"/>
    </xf>
    <xf numFmtId="4" fontId="86" fillId="67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72" borderId="79" applyNumberFormat="0" applyProtection="0">
      <alignment horizontal="left" vertical="center" indent="1"/>
    </xf>
    <xf numFmtId="0" fontId="88" fillId="108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3" fillId="72" borderId="79" applyNumberFormat="0" applyProtection="0">
      <alignment vertical="center"/>
    </xf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4" fontId="43" fillId="100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43" fillId="63" borderId="79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43" fillId="56" borderId="79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5" borderId="30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0" fontId="25" fillId="101" borderId="83" applyNumberFormat="0" applyProtection="0">
      <alignment horizontal="left" vertical="top" indent="1"/>
    </xf>
    <xf numFmtId="4" fontId="25" fillId="89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25" fillId="82" borderId="30" applyNumberFormat="0" applyProtection="0">
      <alignment vertical="center"/>
    </xf>
    <xf numFmtId="0" fontId="4" fillId="84" borderId="79" applyNumberFormat="0" applyProtection="0">
      <alignment horizontal="left" vertical="center" indent="1"/>
    </xf>
    <xf numFmtId="4" fontId="43" fillId="85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4" fontId="25" fillId="0" borderId="30" applyNumberFormat="0" applyProtection="0">
      <alignment horizontal="right" vertical="center"/>
    </xf>
    <xf numFmtId="0" fontId="25" fillId="102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88" fillId="108" borderId="83" applyNumberFormat="0" applyProtection="0">
      <alignment horizontal="left" vertical="top" indent="1"/>
    </xf>
    <xf numFmtId="4" fontId="43" fillId="72" borderId="79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38" fillId="61" borderId="83" applyNumberFormat="0" applyProtection="0">
      <alignment horizontal="right" vertical="center"/>
    </xf>
    <xf numFmtId="0" fontId="25" fillId="107" borderId="30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4" fontId="25" fillId="86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25" fillId="71" borderId="83" applyNumberFormat="0" applyProtection="0">
      <alignment horizontal="left" vertical="top" indent="1"/>
    </xf>
    <xf numFmtId="4" fontId="25" fillId="94" borderId="30" applyNumberFormat="0" applyProtection="0">
      <alignment horizontal="right" vertical="center"/>
    </xf>
    <xf numFmtId="4" fontId="43" fillId="100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94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25" fillId="0" borderId="30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3" fillId="72" borderId="79" applyNumberFormat="0" applyProtection="0">
      <alignment horizontal="left" vertical="center" indent="1"/>
    </xf>
    <xf numFmtId="0" fontId="25" fillId="73" borderId="86"/>
    <xf numFmtId="4" fontId="25" fillId="92" borderId="30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90" borderId="30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9" fontId="95" fillId="110" borderId="39"/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149" fillId="125" borderId="81" applyBorder="0" applyProtection="0">
      <alignment horizontal="centerContinuous" vertical="center"/>
    </xf>
    <xf numFmtId="0" fontId="25" fillId="101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8" fillId="57" borderId="83" applyNumberFormat="0" applyProtection="0">
      <alignment horizontal="right" vertical="center"/>
    </xf>
    <xf numFmtId="4" fontId="36" fillId="54" borderId="83" applyNumberFormat="0" applyProtection="0">
      <alignment vertical="center"/>
    </xf>
    <xf numFmtId="0" fontId="4" fillId="106" borderId="79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85" fillId="54" borderId="79" applyNumberFormat="0" applyProtection="0">
      <alignment vertical="center"/>
    </xf>
    <xf numFmtId="4" fontId="36" fillId="66" borderId="85" applyNumberFormat="0" applyProtection="0">
      <alignment horizontal="left" vertical="center" indent="1"/>
    </xf>
    <xf numFmtId="4" fontId="44" fillId="69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125" fillId="120" borderId="59" applyNumberFormat="0" applyAlignment="0" applyProtection="0"/>
    <xf numFmtId="4" fontId="43" fillId="72" borderId="83" applyNumberFormat="0" applyProtection="0">
      <alignment vertical="center"/>
    </xf>
    <xf numFmtId="4" fontId="25" fillId="82" borderId="30" applyNumberFormat="0" applyProtection="0">
      <alignment vertical="center"/>
    </xf>
    <xf numFmtId="0" fontId="4" fillId="68" borderId="83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25" fillId="48" borderId="30" applyNumberFormat="0" applyFont="0" applyAlignment="0" applyProtection="0"/>
    <xf numFmtId="4" fontId="88" fillId="108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3" fontId="2" fillId="0" borderId="0" applyFont="0" applyFill="0" applyBorder="0" applyAlignment="0" applyProtection="0"/>
    <xf numFmtId="0" fontId="93" fillId="67" borderId="39">
      <protection locked="0"/>
    </xf>
    <xf numFmtId="0" fontId="25" fillId="73" borderId="86"/>
    <xf numFmtId="0" fontId="4" fillId="84" borderId="79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88" fillId="102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44" fillId="69" borderId="83" applyNumberFormat="0" applyProtection="0">
      <alignment horizontal="right" vertical="center"/>
    </xf>
    <xf numFmtId="4" fontId="86" fillId="67" borderId="30" applyNumberFormat="0" applyProtection="0">
      <alignment horizontal="right" vertical="center"/>
    </xf>
    <xf numFmtId="4" fontId="85" fillId="10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83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43" fillId="72" borderId="79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86" fillId="72" borderId="86" applyNumberFormat="0" applyProtection="0">
      <alignment vertical="center"/>
    </xf>
    <xf numFmtId="4" fontId="85" fillId="72" borderId="79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79" applyNumberFormat="0" applyProtection="0">
      <alignment vertical="center"/>
    </xf>
    <xf numFmtId="4" fontId="43" fillId="72" borderId="83" applyNumberFormat="0" applyProtection="0">
      <alignment vertical="center"/>
    </xf>
    <xf numFmtId="4" fontId="88" fillId="108" borderId="83" applyNumberFormat="0" applyProtection="0">
      <alignment vertical="center"/>
    </xf>
    <xf numFmtId="4" fontId="43" fillId="72" borderId="79" applyNumberFormat="0" applyProtection="0">
      <alignment vertical="center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56" borderId="79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43" fillId="58" borderId="79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87" fillId="82" borderId="83" applyNumberFormat="0" applyProtection="0">
      <alignment horizontal="left" vertical="top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4" fillId="84" borderId="79" applyNumberFormat="0" applyProtection="0">
      <alignment horizontal="left" vertical="center" indent="1"/>
    </xf>
    <xf numFmtId="0" fontId="35" fillId="0" borderId="40" applyNumberFormat="0" applyFill="0" applyAlignment="0" applyProtection="0"/>
    <xf numFmtId="4" fontId="38" fillId="57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43" fillId="90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4" fontId="25" fillId="90" borderId="30" applyNumberFormat="0" applyProtection="0">
      <alignment horizontal="right" vertical="center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43" fillId="57" borderId="79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4" fontId="25" fillId="101" borderId="37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0" fontId="73" fillId="49" borderId="30" applyNumberFormat="0" applyAlignment="0" applyProtection="0"/>
    <xf numFmtId="0" fontId="73" fillId="49" borderId="30" applyNumberFormat="0" applyAlignment="0" applyProtection="0"/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4" fontId="116" fillId="54" borderId="83" applyNumberFormat="0" applyProtection="0">
      <alignment vertical="center"/>
    </xf>
    <xf numFmtId="4" fontId="38" fillId="56" borderId="83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62" fillId="77" borderId="59" applyNumberFormat="0" applyAlignment="0" applyProtection="0"/>
    <xf numFmtId="0" fontId="62" fillId="77" borderId="59" applyNumberFormat="0" applyAlignment="0" applyProtection="0"/>
    <xf numFmtId="4" fontId="37" fillId="54" borderId="83" applyNumberFormat="0" applyProtection="0">
      <alignment vertical="center"/>
    </xf>
    <xf numFmtId="0" fontId="60" fillId="79" borderId="30" applyNumberFormat="0" applyAlignment="0" applyProtection="0"/>
    <xf numFmtId="0" fontId="60" fillId="79" borderId="30" applyNumberFormat="0" applyAlignment="0" applyProtection="0"/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43" fillId="85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43" fillId="57" borderId="79" applyNumberFormat="0" applyProtection="0">
      <alignment horizontal="right" vertical="center"/>
    </xf>
    <xf numFmtId="0" fontId="25" fillId="48" borderId="30" applyNumberFormat="0" applyFont="0" applyAlignment="0" applyProtection="0"/>
    <xf numFmtId="4" fontId="36" fillId="54" borderId="83" applyNumberFormat="0" applyProtection="0">
      <alignment vertical="center"/>
    </xf>
    <xf numFmtId="4" fontId="25" fillId="82" borderId="30" applyNumberFormat="0" applyProtection="0">
      <alignment vertical="center"/>
    </xf>
    <xf numFmtId="4" fontId="86" fillId="54" borderId="30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0" fontId="138" fillId="116" borderId="88" applyNumberFormat="0" applyAlignment="0" applyProtection="0"/>
    <xf numFmtId="0" fontId="138" fillId="116" borderId="88" applyNumberFormat="0" applyAlignment="0" applyProtection="0"/>
    <xf numFmtId="4" fontId="25" fillId="83" borderId="30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25" fillId="85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4" fontId="43" fillId="88" borderId="83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0" fontId="25" fillId="101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" fillId="71" borderId="37" applyNumberFormat="0" applyProtection="0">
      <alignment horizontal="left" vertical="center" indent="1"/>
    </xf>
    <xf numFmtId="0" fontId="25" fillId="70" borderId="63" applyNumberFormat="0">
      <protection locked="0"/>
    </xf>
    <xf numFmtId="0" fontId="4" fillId="55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25" fillId="0" borderId="30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38" fillId="69" borderId="83" applyNumberFormat="0" applyProtection="0">
      <alignment vertical="center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54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0" fontId="25" fillId="48" borderId="30" applyNumberFormat="0" applyFont="0" applyAlignment="0" applyProtection="0"/>
    <xf numFmtId="4" fontId="43" fillId="102" borderId="83" applyNumberFormat="0" applyProtection="0">
      <alignment horizontal="left" vertical="center" indent="1"/>
    </xf>
    <xf numFmtId="0" fontId="25" fillId="73" borderId="86"/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4" fontId="43" fillId="72" borderId="79" applyNumberFormat="0" applyProtection="0">
      <alignment vertical="center"/>
    </xf>
    <xf numFmtId="4" fontId="85" fillId="72" borderId="79" applyNumberFormat="0" applyProtection="0">
      <alignment vertical="center"/>
    </xf>
    <xf numFmtId="4" fontId="43" fillId="72" borderId="79" applyNumberFormat="0" applyProtection="0">
      <alignment horizontal="left" vertical="center" indent="1"/>
    </xf>
    <xf numFmtId="4" fontId="43" fillId="0" borderId="83" applyNumberFormat="0" applyProtection="0">
      <alignment horizontal="left" vertical="center" indent="1"/>
    </xf>
    <xf numFmtId="4" fontId="43" fillId="0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25" fillId="73" borderId="86"/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6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43" fillId="72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8" fontId="4" fillId="0" borderId="77" applyFont="0" applyFill="0" applyBorder="0" applyProtection="0">
      <alignment horizontal="right"/>
    </xf>
    <xf numFmtId="0" fontId="4" fillId="84" borderId="79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39" fillId="82" borderId="83" applyNumberFormat="0" applyProtection="0">
      <alignment vertical="center"/>
    </xf>
    <xf numFmtId="4" fontId="25" fillId="90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54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49" fillId="69" borderId="83" applyNumberFormat="0" applyProtection="0">
      <alignment horizontal="right" vertical="center"/>
    </xf>
    <xf numFmtId="4" fontId="48" fillId="68" borderId="85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36" fillId="66" borderId="83" applyNumberFormat="0" applyProtection="0">
      <alignment horizontal="left" vertical="center" indent="1"/>
    </xf>
    <xf numFmtId="4" fontId="44" fillId="69" borderId="83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38" fillId="6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38" fillId="59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38" fillId="57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36" fillId="54" borderId="83" applyNumberFormat="0" applyProtection="0">
      <alignment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0" fontId="25" fillId="73" borderId="86"/>
    <xf numFmtId="0" fontId="4" fillId="4" borderId="79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0" fontId="4" fillId="106" borderId="79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0" fontId="4" fillId="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4" fontId="43" fillId="63" borderId="79" applyNumberFormat="0" applyProtection="0">
      <alignment horizontal="right" vertical="center"/>
    </xf>
    <xf numFmtId="0" fontId="25" fillId="102" borderId="83" applyNumberFormat="0" applyProtection="0">
      <alignment horizontal="left" vertical="top" indent="1"/>
    </xf>
    <xf numFmtId="4" fontId="38" fillId="69" borderId="83" applyNumberFormat="0" applyProtection="0">
      <alignment vertical="center"/>
    </xf>
    <xf numFmtId="0" fontId="25" fillId="102" borderId="83" applyNumberFormat="0" applyProtection="0">
      <alignment horizontal="left" vertical="top" indent="1"/>
    </xf>
    <xf numFmtId="4" fontId="25" fillId="102" borderId="37" applyNumberFormat="0" applyProtection="0">
      <alignment horizontal="left" vertical="center" indent="1"/>
    </xf>
    <xf numFmtId="4" fontId="36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25" fillId="102" borderId="30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0" fontId="124" fillId="104" borderId="88" applyNumberFormat="0" applyAlignment="0" applyProtection="0"/>
    <xf numFmtId="4" fontId="43" fillId="101" borderId="83" applyNumberFormat="0" applyProtection="0">
      <alignment horizontal="right" vertical="center"/>
    </xf>
    <xf numFmtId="4" fontId="39" fillId="54" borderId="83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0" fontId="4" fillId="106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0" fontId="84" fillId="0" borderId="11">
      <alignment horizontal="center"/>
    </xf>
    <xf numFmtId="0" fontId="25" fillId="105" borderId="30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0" fontId="4" fillId="84" borderId="79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8" fillId="66" borderId="83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4" fontId="25" fillId="102" borderId="37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25" fillId="102" borderId="83" applyNumberFormat="0" applyProtection="0">
      <alignment horizontal="left" vertical="top" indent="1"/>
    </xf>
    <xf numFmtId="4" fontId="25" fillId="101" borderId="37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43" fillId="54" borderId="79" applyNumberFormat="0" applyProtection="0">
      <alignment vertical="center"/>
    </xf>
    <xf numFmtId="0" fontId="4" fillId="69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25" fillId="73" borderId="86"/>
    <xf numFmtId="0" fontId="25" fillId="105" borderId="30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102" borderId="83" applyNumberFormat="0" applyProtection="0">
      <alignment horizontal="right" vertical="center"/>
    </xf>
    <xf numFmtId="0" fontId="4" fillId="106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0" fontId="39" fillId="54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4" fontId="4" fillId="71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4" fontId="38" fillId="62" borderId="83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25" fillId="96" borderId="30" applyNumberFormat="0" applyProtection="0">
      <alignment horizontal="right" vertical="center"/>
    </xf>
    <xf numFmtId="4" fontId="43" fillId="103" borderId="79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92" fillId="70" borderId="30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91" fillId="100" borderId="79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39" fillId="99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43" fillId="103" borderId="79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43" fillId="100" borderId="38" applyNumberFormat="0" applyProtection="0">
      <alignment horizontal="left" vertical="center" indent="1"/>
    </xf>
    <xf numFmtId="4" fontId="49" fillId="69" borderId="83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0" fontId="25" fillId="73" borderId="86"/>
    <xf numFmtId="4" fontId="43" fillId="97" borderId="79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0" fontId="25" fillId="73" borderId="86"/>
    <xf numFmtId="4" fontId="43" fillId="96" borderId="83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0" fontId="25" fillId="73" borderId="86"/>
    <xf numFmtId="4" fontId="43" fillId="97" borderId="79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0" fontId="25" fillId="73" borderId="86"/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25" fillId="73" borderId="86"/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25" fillId="96" borderId="30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4" fontId="48" fillId="68" borderId="85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36" fillId="66" borderId="83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73" borderId="86"/>
    <xf numFmtId="0" fontId="4" fillId="69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0" fontId="35" fillId="0" borderId="40" applyNumberFormat="0" applyFill="0" applyAlignment="0" applyProtection="0"/>
    <xf numFmtId="4" fontId="43" fillId="102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0" fontId="4" fillId="55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4" fillId="55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9" fontId="95" fillId="110" borderId="39"/>
    <xf numFmtId="0" fontId="4" fillId="55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0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4" fontId="43" fillId="72" borderId="79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4" fontId="85" fillId="72" borderId="83" applyNumberFormat="0" applyProtection="0">
      <alignment vertical="center"/>
    </xf>
    <xf numFmtId="4" fontId="38" fillId="54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39" fillId="82" borderId="83" applyNumberFormat="0" applyProtection="0">
      <alignment vertical="center"/>
    </xf>
    <xf numFmtId="4" fontId="116" fillId="54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0" fontId="39" fillId="54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0" fontId="4" fillId="69" borderId="83" applyNumberFormat="0" applyProtection="0">
      <alignment horizontal="left" vertical="center" indent="1"/>
    </xf>
    <xf numFmtId="0" fontId="62" fillId="77" borderId="59" applyNumberFormat="0" applyAlignment="0" applyProtection="0"/>
    <xf numFmtId="0" fontId="62" fillId="77" borderId="59" applyNumberFormat="0" applyAlignment="0" applyProtection="0"/>
    <xf numFmtId="0" fontId="39" fillId="54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4" fontId="43" fillId="72" borderId="79" applyNumberFormat="0" applyProtection="0">
      <alignment horizontal="left" vertical="center" indent="1"/>
    </xf>
    <xf numFmtId="4" fontId="39" fillId="98" borderId="62" applyNumberFormat="0" applyProtection="0">
      <alignment horizontal="left" vertical="center" indent="1"/>
    </xf>
    <xf numFmtId="0" fontId="149" fillId="125" borderId="81" applyBorder="0" applyProtection="0">
      <alignment horizontal="centerContinuous" vertical="center"/>
    </xf>
    <xf numFmtId="0" fontId="25" fillId="102" borderId="83" applyNumberFormat="0" applyProtection="0">
      <alignment horizontal="left" vertical="top" indent="1"/>
    </xf>
    <xf numFmtId="4" fontId="25" fillId="98" borderId="37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85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43" fillId="95" borderId="83" applyNumberFormat="0" applyProtection="0">
      <alignment horizontal="right" vertical="center"/>
    </xf>
    <xf numFmtId="4" fontId="85" fillId="72" borderId="83" applyNumberFormat="0" applyProtection="0">
      <alignment vertical="center"/>
    </xf>
    <xf numFmtId="4" fontId="39" fillId="99" borderId="79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94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116" fillId="54" borderId="83" applyNumberFormat="0" applyProtection="0">
      <alignment vertical="center"/>
    </xf>
    <xf numFmtId="4" fontId="25" fillId="96" borderId="30" applyNumberFormat="0" applyProtection="0">
      <alignment horizontal="right" vertical="center"/>
    </xf>
    <xf numFmtId="4" fontId="116" fillId="54" borderId="83" applyNumberFormat="0" applyProtection="0">
      <alignment vertical="center"/>
    </xf>
    <xf numFmtId="4" fontId="38" fillId="64" borderId="83" applyNumberFormat="0" applyProtection="0">
      <alignment horizontal="right" vertical="center"/>
    </xf>
    <xf numFmtId="4" fontId="37" fillId="54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4" fontId="25" fillId="95" borderId="30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4" fontId="25" fillId="94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0" fontId="25" fillId="73" borderId="86"/>
    <xf numFmtId="0" fontId="25" fillId="107" borderId="30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25" fillId="90" borderId="30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4" fontId="38" fillId="54" borderId="83" applyNumberFormat="0" applyProtection="0">
      <alignment horizontal="left" vertical="center" indent="1"/>
    </xf>
    <xf numFmtId="4" fontId="36" fillId="65" borderId="62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94" borderId="83" applyNumberFormat="0" applyProtection="0">
      <alignment horizontal="right" vertical="center"/>
    </xf>
    <xf numFmtId="0" fontId="25" fillId="102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90" borderId="83" applyNumberFormat="0" applyProtection="0">
      <alignment horizontal="right" vertical="center"/>
    </xf>
    <xf numFmtId="0" fontId="25" fillId="107" borderId="30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43" fillId="0" borderId="83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25" fillId="48" borderId="30" applyNumberFormat="0" applyFont="0" applyAlignment="0" applyProtection="0"/>
    <xf numFmtId="0" fontId="25" fillId="104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4" fontId="25" fillId="86" borderId="30" applyNumberFormat="0" applyProtection="0">
      <alignment horizontal="right" vertical="center"/>
    </xf>
    <xf numFmtId="0" fontId="25" fillId="101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25" fillId="70" borderId="63" applyNumberFormat="0">
      <protection locked="0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88" borderId="37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0" fontId="25" fillId="101" borderId="30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88" borderId="83" applyNumberFormat="0" applyProtection="0">
      <alignment horizontal="right"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0" fontId="138" fillId="116" borderId="88" applyNumberFormat="0" applyAlignment="0" applyProtection="0"/>
    <xf numFmtId="10" fontId="25" fillId="72" borderId="86" applyNumberFormat="0" applyBorder="0" applyAlignment="0" applyProtection="0"/>
    <xf numFmtId="4" fontId="43" fillId="93" borderId="79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7" fillId="54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36" fillId="65" borderId="62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0" fontId="123" fillId="0" borderId="87" applyFill="0" applyProtection="0">
      <alignment horizontal="right"/>
    </xf>
    <xf numFmtId="0" fontId="124" fillId="104" borderId="88" applyNumberFormat="0" applyAlignment="0" applyProtection="0"/>
    <xf numFmtId="0" fontId="124" fillId="104" borderId="88" applyNumberFormat="0" applyAlignment="0" applyProtection="0"/>
    <xf numFmtId="0" fontId="4" fillId="0" borderId="79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4" fillId="69" borderId="83" applyNumberFormat="0" applyProtection="0">
      <alignment vertical="center"/>
    </xf>
    <xf numFmtId="0" fontId="43" fillId="68" borderId="83" applyNumberFormat="0" applyProtection="0">
      <alignment horizontal="left" vertical="top" indent="1"/>
    </xf>
    <xf numFmtId="49" fontId="95" fillId="110" borderId="39"/>
    <xf numFmtId="4" fontId="25" fillId="83" borderId="30" applyNumberFormat="0" applyProtection="0">
      <alignment horizontal="left" vertical="center" indent="1"/>
    </xf>
    <xf numFmtId="4" fontId="43" fillId="0" borderId="83" applyNumberFormat="0" applyProtection="0">
      <alignment horizontal="left" vertical="center" indent="1"/>
    </xf>
    <xf numFmtId="4" fontId="43" fillId="0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0" borderId="83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43" fillId="72" borderId="79" applyNumberFormat="0" applyProtection="0">
      <alignment horizontal="left" vertical="center" indent="1"/>
    </xf>
    <xf numFmtId="0" fontId="88" fillId="108" borderId="83" applyNumberFormat="0" applyProtection="0">
      <alignment horizontal="left" vertical="top" indent="1"/>
    </xf>
    <xf numFmtId="4" fontId="43" fillId="72" borderId="79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88" fillId="104" borderId="83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25" fillId="73" borderId="86"/>
    <xf numFmtId="0" fontId="25" fillId="70" borderId="63" applyNumberFormat="0">
      <protection locked="0"/>
    </xf>
    <xf numFmtId="4" fontId="25" fillId="102" borderId="37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43" fillId="100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10" fontId="25" fillId="72" borderId="86" applyNumberFormat="0" applyBorder="0" applyAlignment="0" applyProtection="0"/>
    <xf numFmtId="0" fontId="138" fillId="116" borderId="88" applyNumberFormat="0" applyAlignment="0" applyProtection="0"/>
    <xf numFmtId="0" fontId="138" fillId="116" borderId="88" applyNumberFormat="0" applyAlignment="0" applyProtection="0"/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200" fontId="127" fillId="0" borderId="49">
      <alignment horizontal="right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43" fillId="54" borderId="79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36" fillId="54" borderId="83" applyNumberFormat="0" applyProtection="0">
      <alignment vertical="center"/>
    </xf>
    <xf numFmtId="0" fontId="73" fillId="49" borderId="30" applyNumberFormat="0" applyAlignment="0" applyProtection="0"/>
    <xf numFmtId="4" fontId="39" fillId="54" borderId="83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43" fillId="103" borderId="79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4" fontId="43" fillId="72" borderId="79" applyNumberFormat="0" applyProtection="0">
      <alignment vertical="center"/>
    </xf>
    <xf numFmtId="4" fontId="43" fillId="102" borderId="83" applyNumberFormat="0" applyProtection="0">
      <alignment horizontal="left" vertical="center" indent="1"/>
    </xf>
    <xf numFmtId="4" fontId="44" fillId="69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38" fillId="66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8" fillId="66" borderId="83" applyNumberFormat="0" applyProtection="0">
      <alignment horizontal="right" vertical="center"/>
    </xf>
    <xf numFmtId="4" fontId="39" fillId="54" borderId="83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0" fontId="25" fillId="73" borderId="86"/>
    <xf numFmtId="4" fontId="38" fillId="62" borderId="83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25" fillId="101" borderId="37" applyNumberFormat="0" applyProtection="0">
      <alignment horizontal="left" vertical="center" indent="1"/>
    </xf>
    <xf numFmtId="0" fontId="43" fillId="108" borderId="89" applyNumberFormat="0" applyFont="0" applyAlignment="0" applyProtection="0"/>
    <xf numFmtId="0" fontId="43" fillId="108" borderId="89" applyNumberFormat="0" applyFont="0" applyAlignment="0" applyProtection="0"/>
    <xf numFmtId="0" fontId="143" fillId="104" borderId="79" applyNumberFormat="0" applyAlignment="0" applyProtection="0"/>
    <xf numFmtId="0" fontId="143" fillId="104" borderId="79" applyNumberFormat="0" applyAlignment="0" applyProtection="0"/>
    <xf numFmtId="0" fontId="4" fillId="68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0" fontId="25" fillId="107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49" fillId="69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25" fillId="102" borderId="37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4" fontId="43" fillId="56" borderId="79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3" fontId="127" fillId="0" borderId="82"/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25" fillId="96" borderId="30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4" fillId="69" borderId="83" applyNumberFormat="0" applyProtection="0">
      <alignment vertical="center"/>
    </xf>
    <xf numFmtId="0" fontId="4" fillId="69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90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4" fillId="69" borderId="83" applyNumberFormat="0" applyProtection="0">
      <alignment vertical="center"/>
    </xf>
    <xf numFmtId="4" fontId="85" fillId="72" borderId="83" applyNumberFormat="0" applyProtection="0">
      <alignment vertical="center"/>
    </xf>
    <xf numFmtId="0" fontId="4" fillId="66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96" borderId="30" applyNumberFormat="0" applyProtection="0">
      <alignment horizontal="right" vertical="center"/>
    </xf>
    <xf numFmtId="0" fontId="25" fillId="73" borderId="86"/>
    <xf numFmtId="4" fontId="25" fillId="90" borderId="30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39" fillId="0" borderId="80" applyNumberFormat="0" applyFill="0" applyAlignment="0" applyProtection="0"/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73" borderId="86"/>
    <xf numFmtId="4" fontId="25" fillId="0" borderId="30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0" fontId="25" fillId="70" borderId="63" applyNumberFormat="0">
      <protection locked="0"/>
    </xf>
    <xf numFmtId="4" fontId="25" fillId="83" borderId="30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0" fontId="4" fillId="55" borderId="83" applyNumberFormat="0" applyProtection="0">
      <alignment horizontal="left" vertical="center" indent="1"/>
    </xf>
    <xf numFmtId="195" fontId="148" fillId="0" borderId="60" applyBorder="0" applyProtection="0">
      <alignment horizontal="right" vertical="center"/>
    </xf>
    <xf numFmtId="0" fontId="25" fillId="107" borderId="30" applyNumberFormat="0" applyProtection="0">
      <alignment horizontal="left" vertical="center" indent="1"/>
    </xf>
    <xf numFmtId="0" fontId="149" fillId="125" borderId="60" applyBorder="0" applyProtection="0">
      <alignment horizontal="centerContinuous" vertical="center"/>
    </xf>
    <xf numFmtId="0" fontId="130" fillId="0" borderId="51" applyFill="0" applyBorder="0" applyProtection="0">
      <alignment horizontal="left" vertical="top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3" fontId="127" fillId="0" borderId="82"/>
    <xf numFmtId="0" fontId="4" fillId="68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25" fillId="85" borderId="30" applyNumberFormat="0" applyProtection="0">
      <alignment horizontal="right" vertical="center"/>
    </xf>
    <xf numFmtId="0" fontId="4" fillId="0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43" fillId="90" borderId="83" applyNumberFormat="0" applyProtection="0">
      <alignment horizontal="right" vertical="center"/>
    </xf>
    <xf numFmtId="0" fontId="4" fillId="4" borderId="79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90" fillId="109" borderId="37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81" fillId="79" borderId="79" applyNumberFormat="0" applyAlignment="0" applyProtection="0"/>
    <xf numFmtId="4" fontId="25" fillId="96" borderId="30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4" fontId="25" fillId="102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38" fillId="59" borderId="83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35" fillId="0" borderId="40" applyNumberFormat="0" applyFill="0" applyAlignment="0" applyProtection="0"/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4" fillId="69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25" fillId="86" borderId="30" applyNumberFormat="0" applyProtection="0">
      <alignment horizontal="right" vertical="center"/>
    </xf>
    <xf numFmtId="4" fontId="43" fillId="58" borderId="79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139" fillId="0" borderId="11">
      <alignment horizontal="right"/>
    </xf>
    <xf numFmtId="0" fontId="139" fillId="0" borderId="11">
      <alignment horizontal="left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143" fillId="104" borderId="79" applyNumberFormat="0" applyAlignment="0" applyProtection="0"/>
    <xf numFmtId="0" fontId="143" fillId="104" borderId="79" applyNumberFormat="0" applyAlignment="0" applyProtection="0"/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84" fillId="0" borderId="11">
      <alignment horizontal="center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43" fillId="95" borderId="83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0" fontId="43" fillId="108" borderId="89" applyNumberFormat="0" applyFont="0" applyAlignment="0" applyProtection="0"/>
    <xf numFmtId="0" fontId="43" fillId="108" borderId="89" applyNumberFormat="0" applyFont="0" applyAlignment="0" applyProtection="0"/>
    <xf numFmtId="0" fontId="138" fillId="116" borderId="88" applyNumberFormat="0" applyAlignment="0" applyProtection="0"/>
    <xf numFmtId="0" fontId="138" fillId="116" borderId="88" applyNumberFormat="0" applyAlignment="0" applyProtection="0"/>
    <xf numFmtId="10" fontId="25" fillId="72" borderId="86" applyNumberFormat="0" applyBorder="0" applyAlignment="0" applyProtection="0"/>
    <xf numFmtId="0" fontId="4" fillId="68" borderId="83" applyNumberFormat="0" applyProtection="0">
      <alignment horizontal="left" vertical="top" indent="1"/>
    </xf>
    <xf numFmtId="4" fontId="25" fillId="95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63" borderId="79" applyNumberFormat="0" applyProtection="0">
      <alignment horizontal="right" vertical="center"/>
    </xf>
    <xf numFmtId="0" fontId="124" fillId="104" borderId="88" applyNumberFormat="0" applyAlignment="0" applyProtection="0"/>
    <xf numFmtId="0" fontId="124" fillId="104" borderId="88" applyNumberFormat="0" applyAlignment="0" applyProtection="0"/>
    <xf numFmtId="0" fontId="123" fillId="0" borderId="87" applyFill="0" applyProtection="0">
      <alignment horizontal="right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0" fontId="25" fillId="73" borderId="86"/>
    <xf numFmtId="4" fontId="48" fillId="68" borderId="85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4" fillId="69" borderId="83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36" fillId="66" borderId="85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38" fillId="69" borderId="83" applyNumberFormat="0" applyProtection="0">
      <alignment vertical="center"/>
    </xf>
    <xf numFmtId="0" fontId="15" fillId="71" borderId="84" applyBorder="0"/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38" fillId="62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8" fillId="54" borderId="83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4" fontId="36" fillId="54" borderId="83" applyNumberFormat="0" applyProtection="0">
      <alignment vertical="center"/>
    </xf>
    <xf numFmtId="0" fontId="25" fillId="107" borderId="30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0" fontId="139" fillId="0" borderId="11">
      <alignment horizontal="right"/>
    </xf>
    <xf numFmtId="4" fontId="38" fillId="64" borderId="83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4" fontId="38" fillId="59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61" borderId="79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36" fillId="65" borderId="62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4" fontId="36" fillId="54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101" borderId="83" applyNumberFormat="0" applyProtection="0">
      <alignment horizontal="right" vertical="center"/>
    </xf>
    <xf numFmtId="4" fontId="43" fillId="72" borderId="83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93" fillId="67" borderId="39">
      <protection locked="0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200" fontId="127" fillId="0" borderId="49">
      <alignment horizontal="right"/>
    </xf>
    <xf numFmtId="0" fontId="43" fillId="68" borderId="83" applyNumberFormat="0" applyProtection="0">
      <alignment horizontal="left" vertical="top" indent="1"/>
    </xf>
    <xf numFmtId="4" fontId="25" fillId="86" borderId="30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38" fillId="58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5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0" fontId="39" fillId="0" borderId="80" applyNumberFormat="0" applyFill="0" applyAlignment="0" applyProtection="0"/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4" fontId="43" fillId="90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9" fontId="95" fillId="110" borderId="39"/>
    <xf numFmtId="0" fontId="4" fillId="68" borderId="83" applyNumberFormat="0" applyProtection="0">
      <alignment horizontal="left" vertical="top" indent="1"/>
    </xf>
    <xf numFmtId="0" fontId="25" fillId="73" borderId="86"/>
    <xf numFmtId="4" fontId="43" fillId="85" borderId="83" applyNumberFormat="0" applyProtection="0">
      <alignment horizontal="right" vertical="center"/>
    </xf>
    <xf numFmtId="4" fontId="38" fillId="69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4" fontId="43" fillId="87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91" fillId="100" borderId="79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4" fillId="69" borderId="83" applyNumberFormat="0" applyProtection="0">
      <alignment vertical="center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4" fontId="36" fillId="66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73" borderId="86"/>
    <xf numFmtId="0" fontId="4" fillId="69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25" fillId="96" borderId="30" applyNumberFormat="0" applyProtection="0">
      <alignment horizontal="right" vertical="center"/>
    </xf>
    <xf numFmtId="0" fontId="25" fillId="107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0" borderId="79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25" fillId="70" borderId="63" applyNumberFormat="0">
      <protection locked="0"/>
    </xf>
    <xf numFmtId="4" fontId="25" fillId="83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2" fillId="0" borderId="0"/>
    <xf numFmtId="4" fontId="43" fillId="72" borderId="79" applyNumberFormat="0" applyProtection="0">
      <alignment vertical="center"/>
    </xf>
    <xf numFmtId="0" fontId="25" fillId="107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81" fillId="79" borderId="79" applyNumberFormat="0" applyAlignment="0" applyProtection="0"/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4" fontId="43" fillId="94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25" fillId="89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43" fillId="96" borderId="83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43" fillId="85" borderId="83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0" fontId="4" fillId="0" borderId="79" applyNumberFormat="0" applyProtection="0">
      <alignment horizontal="left" vertical="center" indent="1"/>
    </xf>
    <xf numFmtId="0" fontId="73" fillId="49" borderId="30" applyNumberFormat="0" applyAlignment="0" applyProtection="0"/>
    <xf numFmtId="4" fontId="43" fillId="103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4" fillId="69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0" fontId="25" fillId="48" borderId="30" applyNumberFormat="0" applyFont="0" applyAlignment="0" applyProtection="0"/>
    <xf numFmtId="49" fontId="95" fillId="110" borderId="39"/>
    <xf numFmtId="0" fontId="25" fillId="48" borderId="30" applyNumberFormat="0" applyFont="0" applyAlignment="0" applyProtection="0"/>
    <xf numFmtId="4" fontId="43" fillId="54" borderId="79" applyNumberFormat="0" applyProtection="0">
      <alignment vertical="center"/>
    </xf>
    <xf numFmtId="0" fontId="35" fillId="0" borderId="40" applyNumberFormat="0" applyFill="0" applyAlignment="0" applyProtection="0"/>
    <xf numFmtId="4" fontId="43" fillId="72" borderId="83" applyNumberFormat="0" applyProtection="0">
      <alignment vertical="center"/>
    </xf>
    <xf numFmtId="4" fontId="36" fillId="66" borderId="85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116" fillId="54" borderId="83" applyNumberFormat="0" applyProtection="0">
      <alignment vertical="center"/>
    </xf>
    <xf numFmtId="0" fontId="25" fillId="107" borderId="30" applyNumberFormat="0" applyProtection="0">
      <alignment horizontal="left" vertical="center" indent="1"/>
    </xf>
    <xf numFmtId="4" fontId="43" fillId="8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25" fillId="70" borderId="63" applyNumberFormat="0">
      <protection locked="0"/>
    </xf>
    <xf numFmtId="0" fontId="25" fillId="70" borderId="63" applyNumberFormat="0">
      <protection locked="0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116" fillId="54" borderId="83" applyNumberFormat="0" applyProtection="0">
      <alignment vertical="center"/>
    </xf>
    <xf numFmtId="4" fontId="91" fillId="101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5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39" fillId="0" borderId="80" applyNumberFormat="0" applyFill="0" applyAlignment="0" applyProtection="0"/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85" borderId="83" applyNumberFormat="0" applyProtection="0">
      <alignment horizontal="right" vertical="center"/>
    </xf>
    <xf numFmtId="4" fontId="116" fillId="54" borderId="83" applyNumberFormat="0" applyProtection="0">
      <alignment vertical="center"/>
    </xf>
    <xf numFmtId="4" fontId="39" fillId="82" borderId="83" applyNumberFormat="0" applyProtection="0">
      <alignment vertical="center"/>
    </xf>
    <xf numFmtId="0" fontId="43" fillId="68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25" fillId="9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4" fontId="25" fillId="54" borderId="30" applyNumberFormat="0" applyProtection="0">
      <alignment horizontal="left" vertical="center" indent="1"/>
    </xf>
    <xf numFmtId="4" fontId="43" fillId="58" borderId="79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25" fillId="8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195" fontId="148" fillId="0" borderId="81" applyBorder="0" applyProtection="0">
      <alignment horizontal="right" vertical="center"/>
    </xf>
    <xf numFmtId="4" fontId="43" fillId="100" borderId="79" applyNumberFormat="0" applyProtection="0">
      <alignment horizontal="left" vertical="center" indent="1"/>
    </xf>
    <xf numFmtId="4" fontId="43" fillId="0" borderId="79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116" fillId="54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4" fontId="25" fillId="92" borderId="30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143" fillId="104" borderId="79" applyNumberFormat="0" applyAlignment="0" applyProtection="0"/>
    <xf numFmtId="0" fontId="4" fillId="68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116" fillId="54" borderId="83" applyNumberFormat="0" applyProtection="0">
      <alignment vertical="center"/>
    </xf>
    <xf numFmtId="0" fontId="123" fillId="0" borderId="87" applyFill="0" applyProtection="0">
      <alignment horizontal="right"/>
    </xf>
    <xf numFmtId="0" fontId="124" fillId="104" borderId="88" applyNumberFormat="0" applyAlignment="0" applyProtection="0"/>
    <xf numFmtId="0" fontId="124" fillId="104" borderId="88" applyNumberFormat="0" applyAlignment="0" applyProtection="0"/>
    <xf numFmtId="4" fontId="116" fillId="54" borderId="83" applyNumberFormat="0" applyProtection="0">
      <alignment vertical="center"/>
    </xf>
    <xf numFmtId="0" fontId="4" fillId="68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39" fillId="82" borderId="83" applyNumberFormat="0" applyProtection="0">
      <alignment vertical="center"/>
    </xf>
    <xf numFmtId="0" fontId="25" fillId="48" borderId="30" applyNumberFormat="0" applyFont="0" applyAlignment="0" applyProtection="0"/>
    <xf numFmtId="0" fontId="25" fillId="102" borderId="83" applyNumberFormat="0" applyProtection="0">
      <alignment horizontal="left" vertical="top" indent="1"/>
    </xf>
    <xf numFmtId="4" fontId="36" fillId="66" borderId="83" applyNumberFormat="0" applyProtection="0">
      <alignment horizontal="left" vertical="center" indent="1"/>
    </xf>
    <xf numFmtId="4" fontId="43" fillId="87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101" borderId="83" applyNumberFormat="0" applyProtection="0">
      <alignment horizontal="right" vertical="center"/>
    </xf>
    <xf numFmtId="4" fontId="43" fillId="72" borderId="83" applyNumberFormat="0" applyProtection="0">
      <alignment vertical="center"/>
    </xf>
    <xf numFmtId="4" fontId="85" fillId="101" borderId="83" applyNumberFormat="0" applyProtection="0">
      <alignment horizontal="right" vertical="center"/>
    </xf>
    <xf numFmtId="4" fontId="43" fillId="72" borderId="83" applyNumberFormat="0" applyProtection="0">
      <alignment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43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0" fontId="124" fillId="104" borderId="88" applyNumberFormat="0" applyAlignment="0" applyProtection="0"/>
    <xf numFmtId="4" fontId="116" fillId="54" borderId="83" applyNumberFormat="0" applyProtection="0">
      <alignment vertical="center"/>
    </xf>
    <xf numFmtId="4" fontId="43" fillId="85" borderId="83" applyNumberFormat="0" applyProtection="0">
      <alignment horizontal="right" vertical="center"/>
    </xf>
    <xf numFmtId="4" fontId="116" fillId="54" borderId="83" applyNumberFormat="0" applyProtection="0">
      <alignment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3" fontId="127" fillId="0" borderId="82"/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10" fontId="25" fillId="72" borderId="86" applyNumberFormat="0" applyBorder="0" applyAlignment="0" applyProtection="0"/>
    <xf numFmtId="0" fontId="138" fillId="116" borderId="88" applyNumberFormat="0" applyAlignment="0" applyProtection="0"/>
    <xf numFmtId="0" fontId="138" fillId="116" borderId="88" applyNumberFormat="0" applyAlignment="0" applyProtection="0"/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0" fontId="87" fillId="82" borderId="83" applyNumberFormat="0" applyProtection="0">
      <alignment horizontal="left" vertical="top" indent="1"/>
    </xf>
    <xf numFmtId="200" fontId="127" fillId="0" borderId="49">
      <alignment horizontal="right"/>
    </xf>
    <xf numFmtId="4" fontId="25" fillId="83" borderId="30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43" fillId="63" borderId="79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25" fillId="107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4" fontId="25" fillId="102" borderId="30" applyNumberFormat="0" applyProtection="0">
      <alignment horizontal="right" vertical="center"/>
    </xf>
    <xf numFmtId="4" fontId="48" fillId="68" borderId="85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0" fontId="25" fillId="101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4" fontId="25" fillId="102" borderId="30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4" fontId="25" fillId="98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3" fillId="63" borderId="79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100" borderId="79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4" fontId="85" fillId="72" borderId="79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25" fillId="73" borderId="86"/>
    <xf numFmtId="0" fontId="25" fillId="48" borderId="30" applyNumberFormat="0" applyFont="0" applyAlignment="0" applyProtection="0"/>
    <xf numFmtId="4" fontId="25" fillId="82" borderId="30" applyNumberFormat="0" applyProtection="0">
      <alignment vertical="center"/>
    </xf>
    <xf numFmtId="4" fontId="25" fillId="88" borderId="37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0" fontId="43" fillId="108" borderId="89" applyNumberFormat="0" applyFont="0" applyAlignment="0" applyProtection="0"/>
    <xf numFmtId="0" fontId="43" fillId="108" borderId="89" applyNumberFormat="0" applyFont="0" applyAlignment="0" applyProtection="0"/>
    <xf numFmtId="0" fontId="143" fillId="104" borderId="79" applyNumberFormat="0" applyAlignment="0" applyProtection="0"/>
    <xf numFmtId="0" fontId="143" fillId="104" borderId="79" applyNumberFormat="0" applyAlignment="0" applyProtection="0"/>
    <xf numFmtId="0" fontId="4" fillId="55" borderId="83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38" fillId="56" borderId="83" applyNumberFormat="0" applyProtection="0">
      <alignment horizontal="right" vertical="center"/>
    </xf>
    <xf numFmtId="4" fontId="43" fillId="5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88" borderId="37" applyNumberFormat="0" applyProtection="0">
      <alignment horizontal="right" vertical="center"/>
    </xf>
    <xf numFmtId="4" fontId="43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4" fontId="25" fillId="89" borderId="30" applyNumberFormat="0" applyProtection="0">
      <alignment horizontal="right" vertical="center"/>
    </xf>
    <xf numFmtId="0" fontId="25" fillId="107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89" borderId="30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43" fillId="54" borderId="79" applyNumberFormat="0" applyProtection="0">
      <alignment horizontal="left" vertical="center" indent="1"/>
    </xf>
    <xf numFmtId="0" fontId="73" fillId="49" borderId="30" applyNumberFormat="0" applyAlignment="0" applyProtection="0"/>
    <xf numFmtId="4" fontId="38" fillId="56" borderId="83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0" fontId="93" fillId="67" borderId="39">
      <protection locked="0"/>
    </xf>
    <xf numFmtId="4" fontId="25" fillId="95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3" fontId="127" fillId="0" borderId="82"/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25" fillId="85" borderId="30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88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90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4" fillId="69" borderId="83" applyNumberFormat="0" applyProtection="0">
      <alignment vertical="center"/>
    </xf>
    <xf numFmtId="4" fontId="85" fillId="72" borderId="83" applyNumberFormat="0" applyProtection="0">
      <alignment vertical="center"/>
    </xf>
    <xf numFmtId="0" fontId="4" fillId="66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25" fillId="73" borderId="86"/>
    <xf numFmtId="0" fontId="4" fillId="69" borderId="83" applyNumberFormat="0" applyProtection="0">
      <alignment horizontal="left" vertical="center" indent="1"/>
    </xf>
    <xf numFmtId="4" fontId="43" fillId="54" borderId="79" applyNumberFormat="0" applyProtection="0">
      <alignment vertical="center"/>
    </xf>
    <xf numFmtId="4" fontId="48" fillId="68" borderId="85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6" fillId="54" borderId="30" applyNumberFormat="0" applyProtection="0">
      <alignment vertical="center"/>
    </xf>
    <xf numFmtId="4" fontId="25" fillId="102" borderId="30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0" fontId="25" fillId="70" borderId="63" applyNumberFormat="0">
      <protection locked="0"/>
    </xf>
    <xf numFmtId="4" fontId="88" fillId="108" borderId="83" applyNumberFormat="0" applyProtection="0">
      <alignment vertical="center"/>
    </xf>
    <xf numFmtId="4" fontId="25" fillId="86" borderId="30" applyNumberFormat="0" applyProtection="0">
      <alignment horizontal="right" vertical="center"/>
    </xf>
    <xf numFmtId="0" fontId="130" fillId="0" borderId="51" applyFill="0" applyBorder="0" applyProtection="0">
      <alignment horizontal="left" vertical="top"/>
    </xf>
    <xf numFmtId="4" fontId="43" fillId="58" borderId="79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3" fontId="127" fillId="0" borderId="82"/>
    <xf numFmtId="4" fontId="25" fillId="85" borderId="30" applyNumberFormat="0" applyProtection="0">
      <alignment horizontal="right" vertical="center"/>
    </xf>
    <xf numFmtId="4" fontId="90" fillId="109" borderId="37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0" fontId="4" fillId="8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90" borderId="30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3" fillId="7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4" fillId="69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116" fillId="54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89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143" fillId="104" borderId="79" applyNumberFormat="0" applyAlignment="0" applyProtection="0"/>
    <xf numFmtId="0" fontId="143" fillId="104" borderId="79" applyNumberFormat="0" applyAlignment="0" applyProtection="0"/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43" fillId="87" borderId="83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38" fillId="63" borderId="83" applyNumberFormat="0" applyProtection="0">
      <alignment horizontal="right" vertical="center"/>
    </xf>
    <xf numFmtId="0" fontId="43" fillId="108" borderId="89" applyNumberFormat="0" applyFont="0" applyAlignment="0" applyProtection="0"/>
    <xf numFmtId="0" fontId="43" fillId="108" borderId="89" applyNumberFormat="0" applyFont="0" applyAlignment="0" applyProtection="0"/>
    <xf numFmtId="0" fontId="138" fillId="116" borderId="88" applyNumberFormat="0" applyAlignment="0" applyProtection="0"/>
    <xf numFmtId="0" fontId="138" fillId="116" borderId="88" applyNumberFormat="0" applyAlignment="0" applyProtection="0"/>
    <xf numFmtId="10" fontId="25" fillId="72" borderId="86" applyNumberFormat="0" applyBorder="0" applyAlignment="0" applyProtection="0"/>
    <xf numFmtId="0" fontId="25" fillId="71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4" fontId="43" fillId="90" borderId="83" applyNumberFormat="0" applyProtection="0">
      <alignment horizontal="right" vertical="center"/>
    </xf>
    <xf numFmtId="4" fontId="116" fillId="54" borderId="83" applyNumberFormat="0" applyProtection="0">
      <alignment vertical="center"/>
    </xf>
    <xf numFmtId="0" fontId="124" fillId="104" borderId="88" applyNumberFormat="0" applyAlignment="0" applyProtection="0"/>
    <xf numFmtId="0" fontId="124" fillId="104" borderId="88" applyNumberFormat="0" applyAlignment="0" applyProtection="0"/>
    <xf numFmtId="0" fontId="123" fillId="0" borderId="87" applyFill="0" applyProtection="0">
      <alignment horizontal="right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49" fillId="69" borderId="83" applyNumberFormat="0" applyProtection="0">
      <alignment horizontal="right" vertical="center"/>
    </xf>
    <xf numFmtId="0" fontId="25" fillId="73" borderId="86"/>
    <xf numFmtId="4" fontId="48" fillId="68" borderId="85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4" fillId="69" borderId="83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36" fillId="66" borderId="85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38" fillId="69" borderId="83" applyNumberFormat="0" applyProtection="0">
      <alignment vertical="center"/>
    </xf>
    <xf numFmtId="0" fontId="15" fillId="71" borderId="84" applyBorder="0"/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38" fillId="62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8" fillId="54" borderId="83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4" fontId="36" fillId="54" borderId="83" applyNumberFormat="0" applyProtection="0">
      <alignment vertical="center"/>
    </xf>
    <xf numFmtId="0" fontId="25" fillId="71" borderId="83" applyNumberFormat="0" applyProtection="0">
      <alignment horizontal="left" vertical="top" indent="1"/>
    </xf>
    <xf numFmtId="4" fontId="43" fillId="102" borderId="83" applyNumberFormat="0" applyProtection="0">
      <alignment horizontal="right" vertical="center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9" fontId="2" fillId="0" borderId="0" applyFont="0" applyFill="0" applyBorder="0" applyAlignment="0" applyProtection="0"/>
    <xf numFmtId="4" fontId="48" fillId="68" borderId="85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0" fontId="25" fillId="104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0" fontId="25" fillId="71" borderId="83" applyNumberFormat="0" applyProtection="0">
      <alignment horizontal="left" vertical="top" indent="1"/>
    </xf>
    <xf numFmtId="4" fontId="43" fillId="102" borderId="83" applyNumberFormat="0" applyProtection="0">
      <alignment horizontal="right" vertical="center"/>
    </xf>
    <xf numFmtId="4" fontId="39" fillId="82" borderId="83" applyNumberFormat="0" applyProtection="0">
      <alignment vertical="center"/>
    </xf>
    <xf numFmtId="0" fontId="25" fillId="71" borderId="83" applyNumberFormat="0" applyProtection="0">
      <alignment horizontal="left" vertical="top" indent="1"/>
    </xf>
    <xf numFmtId="4" fontId="43" fillId="87" borderId="83" applyNumberFormat="0" applyProtection="0">
      <alignment horizontal="right" vertical="center"/>
    </xf>
    <xf numFmtId="0" fontId="43" fillId="108" borderId="89" applyNumberFormat="0" applyFont="0" applyAlignment="0" applyProtection="0"/>
    <xf numFmtId="0" fontId="4" fillId="66" borderId="83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91" fillId="100" borderId="79" applyNumberFormat="0" applyProtection="0">
      <alignment horizontal="right" vertical="center"/>
    </xf>
    <xf numFmtId="0" fontId="25" fillId="101" borderId="83" applyNumberFormat="0" applyProtection="0">
      <alignment horizontal="left" vertical="top" indent="1"/>
    </xf>
    <xf numFmtId="4" fontId="25" fillId="86" borderId="30" applyNumberFormat="0" applyProtection="0">
      <alignment horizontal="right" vertical="center"/>
    </xf>
    <xf numFmtId="4" fontId="36" fillId="54" borderId="83" applyNumberFormat="0" applyProtection="0">
      <alignment vertical="center"/>
    </xf>
    <xf numFmtId="4" fontId="43" fillId="0" borderId="83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8" borderId="79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39" fillId="99" borderId="79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4" fontId="25" fillId="86" borderId="30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0" fontId="25" fillId="101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43" fillId="54" borderId="79" applyNumberFormat="0" applyProtection="0">
      <alignment vertical="center"/>
    </xf>
    <xf numFmtId="0" fontId="60" fillId="79" borderId="30" applyNumberFormat="0" applyAlignment="0" applyProtection="0"/>
    <xf numFmtId="4" fontId="25" fillId="102" borderId="37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4" fontId="25" fillId="88" borderId="37" applyNumberFormat="0" applyProtection="0">
      <alignment horizontal="right" vertical="center"/>
    </xf>
    <xf numFmtId="4" fontId="25" fillId="82" borderId="30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25" fillId="98" borderId="37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0" fontId="25" fillId="101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90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8" borderId="37" applyNumberFormat="0" applyProtection="0">
      <alignment horizontal="right" vertical="center"/>
    </xf>
    <xf numFmtId="0" fontId="25" fillId="73" borderId="86"/>
    <xf numFmtId="4" fontId="25" fillId="82" borderId="30" applyNumberFormat="0" applyProtection="0">
      <alignment vertical="center"/>
    </xf>
    <xf numFmtId="4" fontId="25" fillId="96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25" fillId="85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38" fillId="69" borderId="83" applyNumberFormat="0" applyProtection="0">
      <alignment vertical="center"/>
    </xf>
    <xf numFmtId="0" fontId="25" fillId="71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116" fillId="54" borderId="83" applyNumberFormat="0" applyProtection="0">
      <alignment vertical="center"/>
    </xf>
    <xf numFmtId="4" fontId="36" fillId="65" borderId="62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4" fontId="43" fillId="54" borderId="79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25" fillId="70" borderId="63" applyNumberFormat="0">
      <protection locked="0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0" fontId="4" fillId="103" borderId="79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43" fillId="89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87" borderId="83" applyNumberFormat="0" applyProtection="0">
      <alignment horizontal="right" vertical="center"/>
    </xf>
    <xf numFmtId="4" fontId="25" fillId="82" borderId="30" applyNumberFormat="0" applyProtection="0">
      <alignment vertical="center"/>
    </xf>
    <xf numFmtId="0" fontId="4" fillId="68" borderId="83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25" fillId="54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4" fontId="91" fillId="100" borderId="79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58" borderId="79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4" fillId="4" borderId="79" applyNumberFormat="0" applyProtection="0">
      <alignment horizontal="left" vertical="center" indent="1"/>
    </xf>
    <xf numFmtId="0" fontId="149" fillId="125" borderId="60" applyBorder="0" applyProtection="0">
      <alignment horizontal="centerContinuous" vertical="center"/>
    </xf>
    <xf numFmtId="195" fontId="148" fillId="0" borderId="60" applyBorder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43" fillId="91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4" fontId="43" fillId="64" borderId="79" applyNumberFormat="0" applyProtection="0">
      <alignment horizontal="right" vertical="center"/>
    </xf>
    <xf numFmtId="4" fontId="88" fillId="104" borderId="83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43" fillId="89" borderId="83" applyNumberFormat="0" applyProtection="0">
      <alignment horizontal="right" vertical="center"/>
    </xf>
    <xf numFmtId="0" fontId="60" fillId="79" borderId="30" applyNumberFormat="0" applyAlignment="0" applyProtection="0"/>
    <xf numFmtId="0" fontId="25" fillId="102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4" fontId="36" fillId="66" borderId="85" applyNumberFormat="0" applyProtection="0">
      <alignment horizontal="left" vertical="center" indent="1"/>
    </xf>
    <xf numFmtId="4" fontId="38" fillId="66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4" fontId="43" fillId="72" borderId="79" applyNumberFormat="0" applyProtection="0">
      <alignment horizontal="left" vertical="center" indent="1"/>
    </xf>
    <xf numFmtId="4" fontId="25" fillId="88" borderId="37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0" fontId="123" fillId="0" borderId="87" applyFill="0" applyProtection="0">
      <alignment horizontal="right"/>
    </xf>
    <xf numFmtId="4" fontId="25" fillId="94" borderId="30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4" fontId="90" fillId="109" borderId="37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25" fillId="98" borderId="37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4" fontId="48" fillId="68" borderId="85" applyNumberFormat="0" applyProtection="0">
      <alignment horizontal="left" vertical="center" indent="1"/>
    </xf>
    <xf numFmtId="4" fontId="25" fillId="86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103" borderId="79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4" fontId="25" fillId="88" borderId="37" applyNumberFormat="0" applyProtection="0">
      <alignment horizontal="right" vertical="center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0" fontId="25" fillId="73" borderId="86"/>
    <xf numFmtId="0" fontId="25" fillId="107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0" fontId="87" fillId="82" borderId="83" applyNumberFormat="0" applyProtection="0">
      <alignment horizontal="left" vertical="top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38" fillId="54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25" fillId="48" borderId="30" applyNumberFormat="0" applyFont="0" applyAlignment="0" applyProtection="0"/>
    <xf numFmtId="4" fontId="25" fillId="85" borderId="30" applyNumberFormat="0" applyProtection="0">
      <alignment horizontal="right" vertical="center"/>
    </xf>
    <xf numFmtId="4" fontId="25" fillId="54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60" fillId="79" borderId="30" applyNumberFormat="0" applyAlignment="0" applyProtection="0"/>
    <xf numFmtId="0" fontId="4" fillId="55" borderId="83" applyNumberFormat="0" applyProtection="0">
      <alignment horizontal="left" vertical="top" indent="1"/>
    </xf>
    <xf numFmtId="4" fontId="25" fillId="82" borderId="30" applyNumberFormat="0" applyProtection="0">
      <alignment vertical="center"/>
    </xf>
    <xf numFmtId="0" fontId="25" fillId="101" borderId="30" applyNumberFormat="0" applyProtection="0">
      <alignment horizontal="left" vertical="center" indent="1"/>
    </xf>
    <xf numFmtId="4" fontId="43" fillId="72" borderId="79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4" fontId="43" fillId="88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72" borderId="83" applyNumberFormat="0" applyProtection="0">
      <alignment vertical="center"/>
    </xf>
    <xf numFmtId="0" fontId="4" fillId="84" borderId="79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9" fillId="69" borderId="83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43" fillId="72" borderId="83" applyNumberFormat="0" applyProtection="0">
      <alignment horizontal="left" vertical="center" indent="1"/>
    </xf>
    <xf numFmtId="4" fontId="36" fillId="54" borderId="83" applyNumberFormat="0" applyProtection="0">
      <alignment vertical="center"/>
    </xf>
    <xf numFmtId="4" fontId="38" fillId="69" borderId="83" applyNumberFormat="0" applyProtection="0">
      <alignment horizontal="right" vertical="center"/>
    </xf>
    <xf numFmtId="4" fontId="43" fillId="72" borderId="79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0" fontId="4" fillId="66" borderId="83" applyNumberFormat="0" applyProtection="0">
      <alignment horizontal="left" vertical="top" indent="1"/>
    </xf>
    <xf numFmtId="4" fontId="25" fillId="92" borderId="30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25" fillId="94" borderId="30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81" fillId="79" borderId="79" applyNumberFormat="0" applyAlignment="0" applyProtection="0"/>
    <xf numFmtId="4" fontId="43" fillId="54" borderId="79" applyNumberFormat="0" applyProtection="0">
      <alignment horizontal="left" vertical="center" indent="1"/>
    </xf>
    <xf numFmtId="4" fontId="25" fillId="0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85" fillId="54" borderId="79" applyNumberFormat="0" applyProtection="0">
      <alignment vertical="center"/>
    </xf>
    <xf numFmtId="4" fontId="37" fillId="54" borderId="83" applyNumberFormat="0" applyProtection="0">
      <alignment vertical="center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4" fontId="38" fillId="56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43" fillId="58" borderId="79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39" fillId="98" borderId="62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44" fillId="69" borderId="83" applyNumberFormat="0" applyProtection="0">
      <alignment horizontal="right" vertical="center"/>
    </xf>
    <xf numFmtId="4" fontId="4" fillId="71" borderId="37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200" fontId="127" fillId="0" borderId="49">
      <alignment horizontal="right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25" fillId="70" borderId="63" applyNumberFormat="0">
      <protection locked="0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4" fontId="86" fillId="72" borderId="86" applyNumberFormat="0" applyProtection="0">
      <alignment vertical="center"/>
    </xf>
    <xf numFmtId="4" fontId="43" fillId="72" borderId="79" applyNumberFormat="0" applyProtection="0">
      <alignment horizontal="left" vertical="center" indent="1"/>
    </xf>
    <xf numFmtId="4" fontId="88" fillId="104" borderId="83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3" fillId="72" borderId="79" applyNumberFormat="0" applyProtection="0">
      <alignment vertical="center"/>
    </xf>
    <xf numFmtId="4" fontId="43" fillId="72" borderId="79" applyNumberFormat="0" applyProtection="0">
      <alignment horizontal="left" vertical="center" indent="1"/>
    </xf>
    <xf numFmtId="4" fontId="25" fillId="0" borderId="30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0" fontId="4" fillId="0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93" fillId="67" borderId="39">
      <protection locked="0"/>
    </xf>
    <xf numFmtId="4" fontId="25" fillId="89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43" fillId="72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54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0" fontId="25" fillId="107" borderId="30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38" fillId="69" borderId="83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43" fillId="72" borderId="79" applyNumberFormat="0" applyProtection="0">
      <alignment vertical="center"/>
    </xf>
    <xf numFmtId="0" fontId="25" fillId="101" borderId="30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39" fillId="82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4" fontId="49" fillId="69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25" fillId="88" borderId="37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36" fillId="66" borderId="83" applyNumberFormat="0" applyProtection="0">
      <alignment horizontal="left" vertical="center" indent="1"/>
    </xf>
    <xf numFmtId="0" fontId="15" fillId="71" borderId="84" applyBorder="0"/>
    <xf numFmtId="4" fontId="44" fillId="69" borderId="83" applyNumberFormat="0" applyProtection="0">
      <alignment vertical="center"/>
    </xf>
    <xf numFmtId="4" fontId="25" fillId="101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4" fontId="38" fillId="60" borderId="83" applyNumberFormat="0" applyProtection="0">
      <alignment horizontal="right" vertical="center"/>
    </xf>
    <xf numFmtId="4" fontId="43" fillId="100" borderId="79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0" fontId="4" fillId="106" borderId="79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0" fontId="25" fillId="73" borderId="86"/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36" fillId="54" borderId="83" applyNumberFormat="0" applyProtection="0">
      <alignment vertical="center"/>
    </xf>
    <xf numFmtId="4" fontId="25" fillId="95" borderId="30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36" fillId="65" borderId="62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116" fillId="54" borderId="83" applyNumberFormat="0" applyProtection="0">
      <alignment vertical="center"/>
    </xf>
    <xf numFmtId="0" fontId="25" fillId="107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94" borderId="83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38" fillId="56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0" fontId="25" fillId="70" borderId="63" applyNumberFormat="0">
      <protection locked="0"/>
    </xf>
    <xf numFmtId="0" fontId="4" fillId="84" borderId="79" applyNumberFormat="0" applyProtection="0">
      <alignment horizontal="left" vertical="center" indent="1"/>
    </xf>
    <xf numFmtId="0" fontId="124" fillId="104" borderId="88" applyNumberFormat="0" applyAlignment="0" applyProtection="0"/>
    <xf numFmtId="4" fontId="25" fillId="95" borderId="30" applyNumberFormat="0" applyProtection="0">
      <alignment horizontal="right" vertical="center"/>
    </xf>
    <xf numFmtId="4" fontId="43" fillId="72" borderId="83" applyNumberFormat="0" applyProtection="0">
      <alignment vertical="center"/>
    </xf>
    <xf numFmtId="4" fontId="43" fillId="72" borderId="79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0" fontId="25" fillId="107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56" borderId="79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0" fontId="25" fillId="48" borderId="30" applyNumberFormat="0" applyFont="0" applyAlignment="0" applyProtection="0"/>
    <xf numFmtId="0" fontId="81" fillId="79" borderId="79" applyNumberFormat="0" applyAlignment="0" applyProtection="0"/>
    <xf numFmtId="4" fontId="25" fillId="88" borderId="37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143" fillId="104" borderId="79" applyNumberFormat="0" applyAlignment="0" applyProtection="0"/>
    <xf numFmtId="4" fontId="43" fillId="0" borderId="79" applyNumberFormat="0" applyProtection="0">
      <alignment horizontal="right" vertical="center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72" borderId="83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195" fontId="148" fillId="0" borderId="81" applyBorder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200" fontId="127" fillId="0" borderId="49">
      <alignment horizontal="right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98" borderId="37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8" fontId="4" fillId="0" borderId="77" applyFont="0" applyFill="0" applyBorder="0" applyProtection="0">
      <alignment horizontal="right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4" fontId="43" fillId="87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43" fillId="108" borderId="89" applyNumberFormat="0" applyFont="0" applyAlignment="0" applyProtection="0"/>
    <xf numFmtId="4" fontId="43" fillId="72" borderId="83" applyNumberFormat="0" applyProtection="0">
      <alignment horizontal="left" vertical="center" indent="1"/>
    </xf>
    <xf numFmtId="4" fontId="49" fillId="69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44" fillId="69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15" fillId="71" borderId="84" applyBorder="0"/>
    <xf numFmtId="4" fontId="38" fillId="6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38" fillId="61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25" fillId="101" borderId="37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38" fillId="58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25" fillId="82" borderId="30" applyNumberFormat="0" applyProtection="0">
      <alignment vertical="center"/>
    </xf>
    <xf numFmtId="0" fontId="88" fillId="108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0" fontId="43" fillId="68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0" borderId="83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43" fillId="72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4" fillId="69" borderId="83" applyNumberFormat="0" applyProtection="0">
      <alignment vertical="center"/>
    </xf>
    <xf numFmtId="4" fontId="91" fillId="101" borderId="83" applyNumberFormat="0" applyProtection="0">
      <alignment horizontal="right" vertical="center"/>
    </xf>
    <xf numFmtId="4" fontId="85" fillId="72" borderId="83" applyNumberFormat="0" applyProtection="0">
      <alignment vertical="center"/>
    </xf>
    <xf numFmtId="4" fontId="49" fillId="69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0" fontId="52" fillId="0" borderId="64" applyNumberFormat="0" applyFill="0" applyProtection="0">
      <alignment horizontal="center"/>
    </xf>
    <xf numFmtId="4" fontId="25" fillId="90" borderId="30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0" fontId="25" fillId="70" borderId="63" applyNumberFormat="0">
      <protection locked="0"/>
    </xf>
    <xf numFmtId="4" fontId="43" fillId="103" borderId="79" applyNumberFormat="0" applyProtection="0">
      <alignment horizontal="left" vertical="center" indent="1"/>
    </xf>
    <xf numFmtId="4" fontId="25" fillId="86" borderId="30" applyNumberFormat="0" applyProtection="0">
      <alignment horizontal="right" vertical="center"/>
    </xf>
    <xf numFmtId="0" fontId="71" fillId="0" borderId="34" applyNumberFormat="0" applyFill="0" applyAlignment="0" applyProtection="0"/>
    <xf numFmtId="4" fontId="43" fillId="54" borderId="79" applyNumberFormat="0" applyProtection="0">
      <alignment horizontal="left" vertical="center" indent="1"/>
    </xf>
    <xf numFmtId="4" fontId="25" fillId="88" borderId="37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4" fontId="43" fillId="0" borderId="79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43" fillId="103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43" fillId="54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25" fillId="96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25" fillId="73" borderId="86"/>
    <xf numFmtId="0" fontId="39" fillId="54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4" fontId="86" fillId="67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0" fontId="81" fillId="79" borderId="79" applyNumberFormat="0" applyAlignment="0" applyProtection="0"/>
    <xf numFmtId="4" fontId="39" fillId="82" borderId="83" applyNumberFormat="0" applyProtection="0">
      <alignment vertical="center"/>
    </xf>
    <xf numFmtId="0" fontId="39" fillId="54" borderId="83" applyNumberFormat="0" applyProtection="0">
      <alignment horizontal="left" vertical="top" indent="1"/>
    </xf>
    <xf numFmtId="4" fontId="43" fillId="87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43" fillId="0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0" borderId="79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25" fillId="107" borderId="30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4" fontId="43" fillId="63" borderId="79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4" fontId="25" fillId="90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0" fontId="130" fillId="0" borderId="51" applyFill="0" applyBorder="0" applyProtection="0">
      <alignment horizontal="left" vertical="top"/>
    </xf>
    <xf numFmtId="3" fontId="127" fillId="0" borderId="82"/>
    <xf numFmtId="0" fontId="25" fillId="101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4" fontId="25" fillId="82" borderId="30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138" fillId="116" borderId="88" applyNumberFormat="0" applyAlignment="0" applyProtection="0"/>
    <xf numFmtId="4" fontId="92" fillId="70" borderId="30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25" fillId="54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100" borderId="38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4" fontId="43" fillId="92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25" fillId="101" borderId="83" applyNumberFormat="0" applyProtection="0">
      <alignment horizontal="left" vertical="top" indent="1"/>
    </xf>
    <xf numFmtId="0" fontId="93" fillId="67" borderId="39">
      <protection locked="0"/>
    </xf>
    <xf numFmtId="49" fontId="95" fillId="110" borderId="39"/>
    <xf numFmtId="0" fontId="43" fillId="68" borderId="83" applyNumberFormat="0" applyProtection="0">
      <alignment horizontal="left" vertical="top" indent="1"/>
    </xf>
    <xf numFmtId="4" fontId="36" fillId="66" borderId="83" applyNumberFormat="0" applyProtection="0">
      <alignment horizontal="left" vertical="center" indent="1"/>
    </xf>
    <xf numFmtId="4" fontId="38" fillId="61" borderId="83" applyNumberFormat="0" applyProtection="0">
      <alignment horizontal="right" vertical="center"/>
    </xf>
    <xf numFmtId="0" fontId="25" fillId="73" borderId="86"/>
    <xf numFmtId="0" fontId="25" fillId="71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25" fillId="73" borderId="86"/>
    <xf numFmtId="4" fontId="116" fillId="54" borderId="83" applyNumberFormat="0" applyProtection="0">
      <alignment vertical="center"/>
    </xf>
    <xf numFmtId="4" fontId="43" fillId="94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60" fillId="79" borderId="30" applyNumberFormat="0" applyAlignment="0" applyProtection="0"/>
    <xf numFmtId="4" fontId="25" fillId="90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0" fontId="4" fillId="55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0" fontId="25" fillId="70" borderId="63" applyNumberFormat="0">
      <protection locked="0"/>
    </xf>
    <xf numFmtId="0" fontId="25" fillId="70" borderId="63" applyNumberFormat="0">
      <protection locked="0"/>
    </xf>
    <xf numFmtId="0" fontId="25" fillId="70" borderId="63" applyNumberFormat="0">
      <protection locked="0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4" fontId="25" fillId="85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0" fontId="4" fillId="103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70" borderId="63" applyNumberFormat="0">
      <protection locked="0"/>
    </xf>
    <xf numFmtId="4" fontId="36" fillId="66" borderId="85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0" borderId="83" applyNumberFormat="0" applyProtection="0">
      <alignment horizontal="left" vertical="center" indent="1"/>
    </xf>
    <xf numFmtId="0" fontId="25" fillId="73" borderId="86"/>
    <xf numFmtId="4" fontId="25" fillId="102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71" fillId="0" borderId="34" applyNumberFormat="0" applyFill="0" applyAlignment="0" applyProtection="0"/>
    <xf numFmtId="4" fontId="43" fillId="103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4" fontId="25" fillId="95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0" fontId="4" fillId="4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86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0" fontId="4" fillId="106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25" fillId="95" borderId="30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39" fillId="99" borderId="79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0" fontId="4" fillId="103" borderId="79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39" fillId="98" borderId="62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0" fontId="25" fillId="71" borderId="83" applyNumberFormat="0" applyProtection="0">
      <alignment horizontal="left" vertical="top" indent="1"/>
    </xf>
    <xf numFmtId="4" fontId="38" fillId="54" borderId="83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25" fillId="102" borderId="37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25" fillId="0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64" borderId="79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0" fontId="4" fillId="0" borderId="79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0" fontId="39" fillId="54" borderId="83" applyNumberFormat="0" applyProtection="0">
      <alignment horizontal="left" vertical="top" indent="1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" fillId="0" borderId="0"/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92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38" fillId="56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25" fillId="86" borderId="30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25" fillId="73" borderId="86"/>
    <xf numFmtId="0" fontId="4" fillId="68" borderId="83" applyNumberFormat="0" applyProtection="0">
      <alignment horizontal="left" vertical="top" indent="1"/>
    </xf>
    <xf numFmtId="0" fontId="143" fillId="104" borderId="79" applyNumberFormat="0" applyAlignment="0" applyProtection="0"/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4" fontId="36" fillId="66" borderId="85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4" fontId="43" fillId="72" borderId="79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4" fontId="43" fillId="90" borderId="83" applyNumberFormat="0" applyProtection="0">
      <alignment horizontal="right" vertical="center"/>
    </xf>
    <xf numFmtId="4" fontId="43" fillId="58" borderId="79" applyNumberFormat="0" applyProtection="0">
      <alignment horizontal="right" vertical="center"/>
    </xf>
    <xf numFmtId="4" fontId="43" fillId="103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25" fillId="86" borderId="30" applyNumberFormat="0" applyProtection="0">
      <alignment horizontal="right" vertical="center"/>
    </xf>
    <xf numFmtId="0" fontId="25" fillId="48" borderId="30" applyNumberFormat="0" applyFont="0" applyAlignment="0" applyProtection="0"/>
    <xf numFmtId="4" fontId="43" fillId="85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130" fillId="0" borderId="51" applyFill="0" applyBorder="0" applyProtection="0">
      <alignment horizontal="left" vertical="top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43" fillId="0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5" fillId="48" borderId="30" applyNumberFormat="0" applyFont="0" applyAlignment="0" applyProtection="0"/>
    <xf numFmtId="4" fontId="25" fillId="54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38" fillId="69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25" fillId="88" borderId="37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0" fontId="35" fillId="0" borderId="40" applyNumberFormat="0" applyFill="0" applyAlignment="0" applyProtection="0"/>
    <xf numFmtId="0" fontId="25" fillId="104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25" fillId="89" borderId="30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143" fillId="104" borderId="79" applyNumberFormat="0" applyAlignment="0" applyProtection="0"/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25" fillId="85" borderId="30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25" fillId="73" borderId="86"/>
    <xf numFmtId="0" fontId="43" fillId="68" borderId="83" applyNumberFormat="0" applyProtection="0">
      <alignment horizontal="left" vertical="top" indent="1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4" fontId="43" fillId="87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0" fontId="39" fillId="54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4" fontId="25" fillId="82" borderId="30" applyNumberFormat="0" applyProtection="0">
      <alignment vertical="center"/>
    </xf>
    <xf numFmtId="4" fontId="38" fillId="54" borderId="83" applyNumberFormat="0" applyProtection="0">
      <alignment horizontal="left" vertical="center" indent="1"/>
    </xf>
    <xf numFmtId="4" fontId="43" fillId="85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25" fillId="71" borderId="83" applyNumberFormat="0" applyProtection="0">
      <alignment horizontal="left" vertical="top" indent="1"/>
    </xf>
    <xf numFmtId="4" fontId="25" fillId="0" borderId="30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3" fillId="72" borderId="83" applyNumberFormat="0" applyProtection="0">
      <alignment vertical="center"/>
    </xf>
    <xf numFmtId="4" fontId="25" fillId="102" borderId="30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4" fontId="38" fillId="57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4" fontId="92" fillId="70" borderId="30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0" fontId="25" fillId="71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36" fillId="65" borderId="62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25" fillId="73" borderId="86"/>
    <xf numFmtId="0" fontId="25" fillId="101" borderId="30" applyNumberFormat="0" applyProtection="0">
      <alignment horizontal="left" vertical="center" indent="1"/>
    </xf>
    <xf numFmtId="4" fontId="43" fillId="100" borderId="38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95" borderId="30" applyNumberFormat="0" applyProtection="0">
      <alignment horizontal="right" vertical="center"/>
    </xf>
    <xf numFmtId="4" fontId="43" fillId="97" borderId="79" applyNumberFormat="0" applyProtection="0">
      <alignment horizontal="right" vertical="center"/>
    </xf>
    <xf numFmtId="4" fontId="25" fillId="54" borderId="30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43" fillId="97" borderId="79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0" fontId="25" fillId="73" borderId="86"/>
    <xf numFmtId="4" fontId="25" fillId="101" borderId="37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4" fontId="38" fillId="56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25" fillId="88" borderId="37" applyNumberFormat="0" applyProtection="0">
      <alignment horizontal="right" vertical="center"/>
    </xf>
    <xf numFmtId="200" fontId="127" fillId="0" borderId="49">
      <alignment horizontal="right"/>
    </xf>
    <xf numFmtId="4" fontId="43" fillId="88" borderId="83" applyNumberFormat="0" applyProtection="0">
      <alignment horizontal="right" vertical="center"/>
    </xf>
    <xf numFmtId="4" fontId="25" fillId="82" borderId="30" applyNumberFormat="0" applyProtection="0">
      <alignment vertical="center"/>
    </xf>
    <xf numFmtId="0" fontId="25" fillId="107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0" fontId="71" fillId="0" borderId="34" applyNumberFormat="0" applyFill="0" applyAlignment="0" applyProtection="0"/>
    <xf numFmtId="0" fontId="43" fillId="68" borderId="83" applyNumberFormat="0" applyProtection="0">
      <alignment horizontal="left" vertical="top" indent="1"/>
    </xf>
    <xf numFmtId="4" fontId="25" fillId="95" borderId="30" applyNumberFormat="0" applyProtection="0">
      <alignment horizontal="right" vertical="center"/>
    </xf>
    <xf numFmtId="4" fontId="43" fillId="97" borderId="79" applyNumberFormat="0" applyProtection="0">
      <alignment horizontal="right" vertical="center"/>
    </xf>
    <xf numFmtId="4" fontId="43" fillId="0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4" fontId="43" fillId="0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4" fontId="85" fillId="100" borderId="79" applyNumberFormat="0" applyProtection="0">
      <alignment horizontal="right" vertical="center"/>
    </xf>
    <xf numFmtId="0" fontId="25" fillId="70" borderId="63" applyNumberFormat="0">
      <protection locked="0"/>
    </xf>
    <xf numFmtId="0" fontId="25" fillId="101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3" fillId="54" borderId="79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0" fontId="73" fillId="49" borderId="30" applyNumberFormat="0" applyAlignment="0" applyProtection="0"/>
    <xf numFmtId="0" fontId="25" fillId="70" borderId="63" applyNumberFormat="0">
      <protection locked="0"/>
    </xf>
    <xf numFmtId="0" fontId="25" fillId="70" borderId="63" applyNumberFormat="0">
      <protection locked="0"/>
    </xf>
    <xf numFmtId="0" fontId="60" fillId="79" borderId="30" applyNumberFormat="0" applyAlignment="0" applyProtection="0"/>
    <xf numFmtId="0" fontId="25" fillId="104" borderId="30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25" fillId="90" borderId="30" applyNumberFormat="0" applyProtection="0">
      <alignment horizontal="right" vertical="center"/>
    </xf>
    <xf numFmtId="4" fontId="43" fillId="72" borderId="83" applyNumberFormat="0" applyProtection="0">
      <alignment vertical="center"/>
    </xf>
    <xf numFmtId="4" fontId="43" fillId="102" borderId="83" applyNumberFormat="0" applyProtection="0">
      <alignment horizontal="right" vertical="center"/>
    </xf>
    <xf numFmtId="4" fontId="43" fillId="54" borderId="79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0" fontId="25" fillId="107" borderId="30" applyNumberFormat="0" applyProtection="0">
      <alignment horizontal="left" vertical="center" indent="1"/>
    </xf>
    <xf numFmtId="4" fontId="38" fillId="59" borderId="83" applyNumberFormat="0" applyProtection="0">
      <alignment horizontal="right" vertical="center"/>
    </xf>
    <xf numFmtId="4" fontId="39" fillId="82" borderId="83" applyNumberFormat="0" applyProtection="0">
      <alignment vertical="center"/>
    </xf>
    <xf numFmtId="0" fontId="43" fillId="108" borderId="89" applyNumberFormat="0" applyFont="0" applyAlignment="0" applyProtection="0"/>
    <xf numFmtId="0" fontId="88" fillId="102" borderId="83" applyNumberFormat="0" applyProtection="0">
      <alignment horizontal="left" vertical="top" indent="1"/>
    </xf>
    <xf numFmtId="4" fontId="43" fillId="0" borderId="83" applyNumberFormat="0" applyProtection="0">
      <alignment horizontal="left" vertical="center" indent="1"/>
    </xf>
    <xf numFmtId="0" fontId="4" fillId="0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4" fontId="44" fillId="69" borderId="83" applyNumberFormat="0" applyProtection="0">
      <alignment vertical="center"/>
    </xf>
    <xf numFmtId="4" fontId="49" fillId="69" borderId="83" applyNumberFormat="0" applyProtection="0">
      <alignment horizontal="right" vertical="center"/>
    </xf>
    <xf numFmtId="4" fontId="48" fillId="68" borderId="85" applyNumberFormat="0" applyProtection="0">
      <alignment horizontal="left" vertical="center" indent="1"/>
    </xf>
    <xf numFmtId="4" fontId="38" fillId="59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44" fillId="69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36" fillId="66" borderId="85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86" fillId="67" borderId="30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90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0" fontId="25" fillId="48" borderId="30" applyNumberFormat="0" applyFont="0" applyAlignment="0" applyProtection="0"/>
    <xf numFmtId="4" fontId="43" fillId="88" borderId="83" applyNumberFormat="0" applyProtection="0">
      <alignment horizontal="right" vertical="center"/>
    </xf>
    <xf numFmtId="4" fontId="25" fillId="54" borderId="30" applyNumberFormat="0" applyProtection="0">
      <alignment horizontal="left" vertical="center" indent="1"/>
    </xf>
    <xf numFmtId="4" fontId="85" fillId="100" borderId="79" applyNumberFormat="0" applyProtection="0">
      <alignment horizontal="right" vertical="center"/>
    </xf>
    <xf numFmtId="0" fontId="4" fillId="103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48" borderId="30" applyNumberFormat="0" applyFont="0" applyAlignment="0" applyProtection="0"/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25" fillId="82" borderId="30" applyNumberFormat="0" applyProtection="0">
      <alignment vertical="center"/>
    </xf>
    <xf numFmtId="4" fontId="38" fillId="57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0" fontId="4" fillId="4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43" fillId="88" borderId="83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0" fontId="25" fillId="70" borderId="63" applyNumberFormat="0">
      <protection locked="0"/>
    </xf>
    <xf numFmtId="0" fontId="4" fillId="55" borderId="83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43" fillId="56" borderId="79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4" fontId="25" fillId="86" borderId="30" applyNumberFormat="0" applyProtection="0">
      <alignment horizontal="right" vertical="center"/>
    </xf>
    <xf numFmtId="0" fontId="25" fillId="70" borderId="63" applyNumberFormat="0">
      <protection locked="0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0" fontId="87" fillId="82" borderId="83" applyNumberFormat="0" applyProtection="0">
      <alignment horizontal="left" vertical="top" indent="1"/>
    </xf>
    <xf numFmtId="4" fontId="25" fillId="82" borderId="30" applyNumberFormat="0" applyProtection="0">
      <alignment vertical="center"/>
    </xf>
    <xf numFmtId="4" fontId="43" fillId="72" borderId="79" applyNumberFormat="0" applyProtection="0">
      <alignment vertical="center"/>
    </xf>
    <xf numFmtId="4" fontId="39" fillId="82" borderId="83" applyNumberFormat="0" applyProtection="0">
      <alignment vertical="center"/>
    </xf>
    <xf numFmtId="0" fontId="15" fillId="71" borderId="84" applyBorder="0"/>
    <xf numFmtId="0" fontId="25" fillId="107" borderId="30" applyNumberFormat="0" applyProtection="0">
      <alignment horizontal="left" vertical="center" indent="1"/>
    </xf>
    <xf numFmtId="4" fontId="38" fillId="69" borderId="83" applyNumberFormat="0" applyProtection="0">
      <alignment horizontal="right" vertical="center"/>
    </xf>
    <xf numFmtId="0" fontId="25" fillId="107" borderId="83" applyNumberFormat="0" applyProtection="0">
      <alignment horizontal="left" vertical="top" indent="1"/>
    </xf>
    <xf numFmtId="4" fontId="38" fillId="62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4" fontId="43" fillId="8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0" fontId="25" fillId="107" borderId="83" applyNumberFormat="0" applyProtection="0">
      <alignment horizontal="left" vertical="top" indent="1"/>
    </xf>
    <xf numFmtId="4" fontId="38" fillId="62" borderId="83" applyNumberFormat="0" applyProtection="0">
      <alignment horizontal="right" vertical="center"/>
    </xf>
    <xf numFmtId="4" fontId="85" fillId="72" borderId="83" applyNumberFormat="0" applyProtection="0">
      <alignment vertical="center"/>
    </xf>
    <xf numFmtId="4" fontId="25" fillId="54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4" fontId="2" fillId="0" borderId="0" applyFont="0" applyFill="0" applyBorder="0" applyAlignment="0" applyProtection="0"/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4" fontId="86" fillId="72" borderId="86" applyNumberFormat="0" applyProtection="0">
      <alignment vertical="center"/>
    </xf>
    <xf numFmtId="4" fontId="36" fillId="66" borderId="83" applyNumberFormat="0" applyProtection="0">
      <alignment horizontal="left" vertical="center" indent="1"/>
    </xf>
    <xf numFmtId="4" fontId="38" fillId="60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25" fillId="88" borderId="37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38" fillId="64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38" fillId="69" borderId="83" applyNumberFormat="0" applyProtection="0">
      <alignment horizontal="right" vertical="center"/>
    </xf>
    <xf numFmtId="4" fontId="36" fillId="66" borderId="85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0" fontId="25" fillId="73" borderId="86"/>
    <xf numFmtId="0" fontId="124" fillId="104" borderId="88" applyNumberFormat="0" applyAlignment="0" applyProtection="0"/>
    <xf numFmtId="0" fontId="123" fillId="0" borderId="87" applyFill="0" applyProtection="0">
      <alignment horizontal="right"/>
    </xf>
    <xf numFmtId="0" fontId="138" fillId="116" borderId="88" applyNumberFormat="0" applyAlignment="0" applyProtection="0"/>
    <xf numFmtId="4" fontId="25" fillId="94" borderId="30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25" fillId="70" borderId="63" applyNumberFormat="0">
      <protection locked="0"/>
    </xf>
    <xf numFmtId="4" fontId="44" fillId="69" borderId="83" applyNumberFormat="0" applyProtection="0">
      <alignment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25" fillId="73" borderId="86"/>
    <xf numFmtId="0" fontId="39" fillId="54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" fillId="0" borderId="0"/>
    <xf numFmtId="0" fontId="39" fillId="0" borderId="80" applyNumberFormat="0" applyFill="0" applyAlignment="0" applyProtection="0"/>
    <xf numFmtId="4" fontId="25" fillId="90" borderId="30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0" fontId="43" fillId="108" borderId="89" applyNumberFormat="0" applyFont="0" applyAlignment="0" applyProtection="0"/>
    <xf numFmtId="0" fontId="25" fillId="48" borderId="30" applyNumberFormat="0" applyFont="0" applyAlignment="0" applyProtection="0"/>
    <xf numFmtId="4" fontId="39" fillId="54" borderId="83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4" fontId="25" fillId="102" borderId="37" applyNumberFormat="0" applyProtection="0">
      <alignment horizontal="left" vertical="center" indent="1"/>
    </xf>
    <xf numFmtId="0" fontId="25" fillId="48" borderId="30" applyNumberFormat="0" applyFont="0" applyAlignment="0" applyProtection="0"/>
    <xf numFmtId="4" fontId="25" fillId="54" borderId="30" applyNumberFormat="0" applyProtection="0">
      <alignment horizontal="left" vertical="center" indent="1"/>
    </xf>
    <xf numFmtId="4" fontId="85" fillId="54" borderId="79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43" fillId="56" borderId="79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86" fillId="72" borderId="86" applyNumberFormat="0" applyProtection="0">
      <alignment vertical="center"/>
    </xf>
    <xf numFmtId="4" fontId="43" fillId="72" borderId="79" applyNumberFormat="0" applyProtection="0">
      <alignment vertical="center"/>
    </xf>
    <xf numFmtId="0" fontId="25" fillId="101" borderId="30" applyNumberFormat="0" applyProtection="0">
      <alignment horizontal="left" vertical="center" indent="1"/>
    </xf>
    <xf numFmtId="4" fontId="25" fillId="0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0" fontId="25" fillId="101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25" fillId="104" borderId="30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38" fillId="60" borderId="83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37" fillId="54" borderId="83" applyNumberFormat="0" applyProtection="0">
      <alignment vertical="center"/>
    </xf>
    <xf numFmtId="4" fontId="25" fillId="101" borderId="37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4" fillId="103" borderId="79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36" fillId="66" borderId="83" applyNumberFormat="0" applyProtection="0">
      <alignment horizontal="left" vertical="center" indent="1"/>
    </xf>
    <xf numFmtId="0" fontId="88" fillId="102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90" fillId="109" borderId="37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93" fillId="67" borderId="39">
      <protection locked="0"/>
    </xf>
    <xf numFmtId="4" fontId="36" fillId="66" borderId="83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116" fillId="54" borderId="83" applyNumberFormat="0" applyProtection="0">
      <alignment vertical="center"/>
    </xf>
    <xf numFmtId="0" fontId="25" fillId="105" borderId="30" applyNumberFormat="0" applyProtection="0">
      <alignment horizontal="left" vertical="center" indent="1"/>
    </xf>
    <xf numFmtId="4" fontId="38" fillId="58" borderId="83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0" fontId="25" fillId="70" borderId="63" applyNumberFormat="0">
      <protection locked="0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4" fontId="25" fillId="54" borderId="30" applyNumberFormat="0" applyProtection="0">
      <alignment horizontal="left" vertical="center" indent="1"/>
    </xf>
    <xf numFmtId="4" fontId="48" fillId="68" borderId="85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0" fontId="25" fillId="48" borderId="30" applyNumberFormat="0" applyFont="0" applyAlignment="0" applyProtection="0"/>
    <xf numFmtId="0" fontId="71" fillId="0" borderId="34" applyNumberFormat="0" applyFill="0" applyAlignment="0" applyProtection="0"/>
    <xf numFmtId="0" fontId="73" fillId="49" borderId="30" applyNumberFormat="0" applyAlignment="0" applyProtection="0"/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25" fillId="88" borderId="37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25" fillId="0" borderId="30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87" borderId="83" applyNumberFormat="0" applyProtection="0">
      <alignment horizontal="right" vertical="center"/>
    </xf>
    <xf numFmtId="0" fontId="25" fillId="71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43" fillId="89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3" fillId="102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25" fillId="88" borderId="37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9" fillId="54" borderId="83" applyNumberFormat="0" applyProtection="0">
      <alignment horizontal="left" vertical="top" indent="1"/>
    </xf>
    <xf numFmtId="4" fontId="25" fillId="86" borderId="30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25" fillId="73" borderId="86"/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10" fontId="25" fillId="72" borderId="86" applyNumberFormat="0" applyBorder="0" applyAlignment="0" applyProtection="0"/>
    <xf numFmtId="4" fontId="25" fillId="83" borderId="30" applyNumberFormat="0" applyProtection="0">
      <alignment horizontal="left" vertical="center" indent="1"/>
    </xf>
    <xf numFmtId="4" fontId="43" fillId="90" borderId="83" applyNumberFormat="0" applyProtection="0">
      <alignment horizontal="right" vertical="center"/>
    </xf>
    <xf numFmtId="4" fontId="43" fillId="72" borderId="83" applyNumberFormat="0" applyProtection="0">
      <alignment vertical="center"/>
    </xf>
    <xf numFmtId="4" fontId="25" fillId="82" borderId="30" applyNumberFormat="0" applyProtection="0">
      <alignment vertical="center"/>
    </xf>
    <xf numFmtId="0" fontId="4" fillId="55" borderId="83" applyNumberFormat="0" applyProtection="0">
      <alignment horizontal="left" vertical="top" indent="1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89" borderId="83" applyNumberFormat="0" applyProtection="0">
      <alignment horizontal="right"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4" fontId="25" fillId="82" borderId="30" applyNumberFormat="0" applyProtection="0">
      <alignment vertical="center"/>
    </xf>
    <xf numFmtId="0" fontId="4" fillId="103" borderId="79" applyNumberFormat="0" applyProtection="0">
      <alignment horizontal="left" vertical="center" indent="1"/>
    </xf>
    <xf numFmtId="4" fontId="25" fillId="86" borderId="30" applyNumberFormat="0" applyProtection="0">
      <alignment horizontal="right" vertical="center"/>
    </xf>
    <xf numFmtId="4" fontId="43" fillId="103" borderId="79" applyNumberFormat="0" applyProtection="0">
      <alignment horizontal="left" vertical="center" indent="1"/>
    </xf>
    <xf numFmtId="4" fontId="38" fillId="58" borderId="8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5" fillId="85" borderId="30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92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25" fillId="102" borderId="30" applyNumberFormat="0" applyProtection="0">
      <alignment horizontal="right" vertical="center"/>
    </xf>
    <xf numFmtId="0" fontId="25" fillId="71" borderId="83" applyNumberFormat="0" applyProtection="0">
      <alignment horizontal="left" vertical="top" indent="1"/>
    </xf>
    <xf numFmtId="4" fontId="25" fillId="101" borderId="37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39" fillId="98" borderId="62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43" fillId="97" borderId="79" applyNumberFormat="0" applyProtection="0">
      <alignment horizontal="right" vertical="center"/>
    </xf>
    <xf numFmtId="0" fontId="4" fillId="103" borderId="79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4" fontId="43" fillId="97" borderId="79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39" fillId="99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48" fillId="68" borderId="85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38" fillId="64" borderId="83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36" fillId="65" borderId="62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90" fillId="109" borderId="37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0" fontId="62" fillId="77" borderId="59" applyNumberFormat="0" applyAlignment="0" applyProtection="0"/>
    <xf numFmtId="4" fontId="25" fillId="95" borderId="30" applyNumberFormat="0" applyProtection="0">
      <alignment horizontal="right" vertical="center"/>
    </xf>
    <xf numFmtId="0" fontId="62" fillId="77" borderId="59" applyNumberFormat="0" applyAlignment="0" applyProtection="0"/>
    <xf numFmtId="0" fontId="4" fillId="84" borderId="79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4" fontId="43" fillId="63" borderId="79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95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149" fillId="125" borderId="81" applyBorder="0" applyProtection="0">
      <alignment horizontal="centerContinuous" vertical="center"/>
    </xf>
    <xf numFmtId="4" fontId="25" fillId="83" borderId="30" applyNumberFormat="0" applyProtection="0">
      <alignment horizontal="left" vertical="center" indent="1"/>
    </xf>
    <xf numFmtId="4" fontId="36" fillId="65" borderId="62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36" fillId="66" borderId="83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73" borderId="86"/>
    <xf numFmtId="0" fontId="4" fillId="69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0" fontId="25" fillId="73" borderId="86"/>
    <xf numFmtId="4" fontId="43" fillId="102" borderId="83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4" fontId="43" fillId="100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4" fontId="43" fillId="100" borderId="79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4" fontId="116" fillId="54" borderId="83" applyNumberFormat="0" applyProtection="0">
      <alignment vertical="center"/>
    </xf>
    <xf numFmtId="0" fontId="4" fillId="106" borderId="79" applyNumberFormat="0" applyProtection="0">
      <alignment horizontal="left" vertical="center" indent="1"/>
    </xf>
    <xf numFmtId="4" fontId="43" fillId="97" borderId="79" applyNumberFormat="0" applyProtection="0">
      <alignment horizontal="right" vertical="center"/>
    </xf>
    <xf numFmtId="4" fontId="43" fillId="100" borderId="79" applyNumberFormat="0" applyProtection="0">
      <alignment horizontal="left" vertical="center" indent="1"/>
    </xf>
    <xf numFmtId="0" fontId="62" fillId="77" borderId="59" applyNumberFormat="0" applyAlignment="0" applyProtection="0"/>
    <xf numFmtId="0" fontId="62" fillId="77" borderId="59" applyNumberFormat="0" applyAlignment="0" applyProtection="0"/>
    <xf numFmtId="0" fontId="39" fillId="54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4" fontId="25" fillId="102" borderId="30" applyNumberFormat="0" applyProtection="0">
      <alignment horizontal="right" vertical="center"/>
    </xf>
    <xf numFmtId="0" fontId="4" fillId="103" borderId="79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0" fontId="4" fillId="106" borderId="79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0" fontId="4" fillId="106" borderId="79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25" fillId="73" borderId="86"/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25" fillId="70" borderId="63" applyNumberFormat="0">
      <protection locked="0"/>
    </xf>
    <xf numFmtId="0" fontId="25" fillId="70" borderId="63" applyNumberFormat="0">
      <protection locked="0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52" fillId="0" borderId="64" applyNumberFormat="0" applyFill="0" applyProtection="0">
      <alignment horizontal="center"/>
    </xf>
    <xf numFmtId="4" fontId="43" fillId="102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25" fillId="98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25" fillId="85" borderId="30" applyNumberFormat="0" applyProtection="0">
      <alignment horizontal="right" vertical="center"/>
    </xf>
    <xf numFmtId="4" fontId="25" fillId="82" borderId="30" applyNumberFormat="0" applyProtection="0">
      <alignment vertical="center"/>
    </xf>
    <xf numFmtId="0" fontId="25" fillId="48" borderId="30" applyNumberFormat="0" applyFont="0" applyAlignment="0" applyProtection="0"/>
    <xf numFmtId="4" fontId="43" fillId="56" borderId="79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0" fontId="25" fillId="107" borderId="30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0" fontId="4" fillId="68" borderId="83" applyNumberFormat="0" applyProtection="0">
      <alignment horizontal="left" vertical="top" indent="1"/>
    </xf>
    <xf numFmtId="4" fontId="88" fillId="104" borderId="83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4" fontId="38" fillId="69" borderId="83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43" fillId="0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85" fillId="101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25" fillId="88" borderId="37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123" fillId="0" borderId="87" applyFill="0" applyProtection="0">
      <alignment horizontal="right"/>
    </xf>
    <xf numFmtId="0" fontId="124" fillId="104" borderId="88" applyNumberFormat="0" applyAlignment="0" applyProtection="0"/>
    <xf numFmtId="0" fontId="124" fillId="104" borderId="88" applyNumberFormat="0" applyAlignment="0" applyProtection="0"/>
    <xf numFmtId="8" fontId="4" fillId="0" borderId="77" applyFont="0" applyFill="0" applyBorder="0" applyProtection="0">
      <alignment horizontal="right"/>
    </xf>
    <xf numFmtId="0" fontId="125" fillId="120" borderId="59" applyNumberFormat="0" applyAlignment="0" applyProtection="0"/>
    <xf numFmtId="0" fontId="125" fillId="120" borderId="59" applyNumberFormat="0" applyAlignment="0" applyProtection="0"/>
    <xf numFmtId="0" fontId="25" fillId="73" borderId="86"/>
    <xf numFmtId="0" fontId="43" fillId="68" borderId="83" applyNumberFormat="0" applyProtection="0">
      <alignment horizontal="left" vertical="top" indent="1"/>
    </xf>
    <xf numFmtId="0" fontId="25" fillId="73" borderId="86"/>
    <xf numFmtId="4" fontId="85" fillId="10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72" borderId="79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85" fillId="72" borderId="79" applyNumberFormat="0" applyProtection="0">
      <alignment vertical="center"/>
    </xf>
    <xf numFmtId="4" fontId="43" fillId="72" borderId="79" applyNumberFormat="0" applyProtection="0">
      <alignment vertical="center"/>
    </xf>
    <xf numFmtId="4" fontId="88" fillId="108" borderId="83" applyNumberFormat="0" applyProtection="0">
      <alignment vertical="center"/>
    </xf>
    <xf numFmtId="4" fontId="43" fillId="72" borderId="79" applyNumberFormat="0" applyProtection="0">
      <alignment vertical="center"/>
    </xf>
    <xf numFmtId="0" fontId="25" fillId="70" borderId="63" applyNumberFormat="0">
      <protection locked="0"/>
    </xf>
    <xf numFmtId="0" fontId="25" fillId="70" borderId="63" applyNumberFormat="0">
      <protection locked="0"/>
    </xf>
    <xf numFmtId="4" fontId="91" fillId="101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0" fontId="4" fillId="4" borderId="79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5" borderId="30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4" fillId="71" borderId="37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89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43" fillId="56" borderId="79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0" fontId="45" fillId="0" borderId="78" applyNumberFormat="0" applyFill="0" applyAlignment="0" applyProtection="0"/>
    <xf numFmtId="0" fontId="45" fillId="0" borderId="78" applyNumberFormat="0" applyFill="0" applyAlignment="0" applyProtection="0"/>
    <xf numFmtId="4" fontId="25" fillId="85" borderId="30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0" fontId="87" fillId="82" borderId="83" applyNumberFormat="0" applyProtection="0">
      <alignment horizontal="left" vertical="top" indent="1"/>
    </xf>
    <xf numFmtId="4" fontId="43" fillId="54" borderId="79" applyNumberFormat="0" applyProtection="0">
      <alignment horizontal="left" vertical="center" indent="1"/>
    </xf>
    <xf numFmtId="10" fontId="25" fillId="72" borderId="86" applyNumberFormat="0" applyBorder="0" applyAlignment="0" applyProtection="0"/>
    <xf numFmtId="0" fontId="138" fillId="116" borderId="88" applyNumberFormat="0" applyAlignment="0" applyProtection="0"/>
    <xf numFmtId="0" fontId="138" fillId="116" borderId="88" applyNumberFormat="0" applyAlignment="0" applyProtection="0"/>
    <xf numFmtId="4" fontId="25" fillId="54" borderId="30" applyNumberFormat="0" applyProtection="0">
      <alignment horizontal="left" vertical="center" indent="1"/>
    </xf>
    <xf numFmtId="0" fontId="139" fillId="0" borderId="72">
      <alignment horizontal="right"/>
    </xf>
    <xf numFmtId="0" fontId="139" fillId="0" borderId="72">
      <alignment horizontal="left"/>
    </xf>
    <xf numFmtId="4" fontId="25" fillId="5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200" fontId="127" fillId="0" borderId="49">
      <alignment horizontal="right"/>
    </xf>
    <xf numFmtId="4" fontId="25" fillId="5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38" fillId="54" borderId="83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4" fontId="86" fillId="54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43" fillId="54" borderId="79" applyNumberFormat="0" applyProtection="0">
      <alignment vertical="center"/>
    </xf>
    <xf numFmtId="4" fontId="25" fillId="82" borderId="30" applyNumberFormat="0" applyProtection="0">
      <alignment vertical="center"/>
    </xf>
    <xf numFmtId="0" fontId="81" fillId="79" borderId="79" applyNumberFormat="0" applyAlignment="0" applyProtection="0"/>
    <xf numFmtId="0" fontId="81" fillId="79" borderId="79" applyNumberForma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4" fillId="69" borderId="83" applyNumberFormat="0" applyProtection="0">
      <alignment horizontal="left" vertical="top" indent="1"/>
    </xf>
    <xf numFmtId="4" fontId="25" fillId="82" borderId="30" applyNumberFormat="0" applyProtection="0">
      <alignment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2" fillId="0" borderId="0"/>
    <xf numFmtId="0" fontId="43" fillId="108" borderId="89" applyNumberFormat="0" applyFont="0" applyAlignment="0" applyProtection="0"/>
    <xf numFmtId="0" fontId="43" fillId="108" borderId="89" applyNumberFormat="0" applyFont="0" applyAlignment="0" applyProtection="0"/>
    <xf numFmtId="0" fontId="143" fillId="104" borderId="79" applyNumberFormat="0" applyAlignment="0" applyProtection="0"/>
    <xf numFmtId="0" fontId="143" fillId="104" borderId="79" applyNumberFormat="0" applyAlignment="0" applyProtection="0"/>
    <xf numFmtId="195" fontId="148" fillId="0" borderId="81" applyBorder="0" applyProtection="0">
      <alignment horizontal="right" vertical="center"/>
    </xf>
    <xf numFmtId="0" fontId="84" fillId="0" borderId="72">
      <alignment horizontal="center"/>
    </xf>
    <xf numFmtId="0" fontId="84" fillId="0" borderId="72">
      <alignment horizontal="center"/>
    </xf>
    <xf numFmtId="0" fontId="84" fillId="0" borderId="72">
      <alignment horizont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3" fontId="127" fillId="0" borderId="82"/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0" borderId="79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90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4" fillId="69" borderId="83" applyNumberFormat="0" applyProtection="0">
      <alignment vertical="center"/>
    </xf>
    <xf numFmtId="4" fontId="85" fillId="72" borderId="83" applyNumberFormat="0" applyProtection="0">
      <alignment vertical="center"/>
    </xf>
    <xf numFmtId="0" fontId="4" fillId="66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63" borderId="79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83" fillId="121" borderId="75" applyNumberFormat="0" applyFont="0" applyAlignment="0" applyProtection="0"/>
    <xf numFmtId="4" fontId="25" fillId="98" borderId="37" applyNumberFormat="0" applyProtection="0">
      <alignment horizontal="left" vertical="center" indent="1"/>
    </xf>
    <xf numFmtId="4" fontId="4" fillId="71" borderId="37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130" fillId="0" borderId="51" applyFill="0" applyBorder="0" applyProtection="0">
      <alignment horizontal="left" vertical="top"/>
    </xf>
    <xf numFmtId="4" fontId="25" fillId="0" borderId="30" applyNumberFormat="0" applyProtection="0">
      <alignment horizontal="right" vertical="center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3" fontId="127" fillId="0" borderId="82"/>
    <xf numFmtId="0" fontId="25" fillId="101" borderId="83" applyNumberFormat="0" applyProtection="0">
      <alignment horizontal="left" vertical="top" indent="1"/>
    </xf>
    <xf numFmtId="0" fontId="62" fillId="77" borderId="59" applyNumberFormat="0" applyAlignment="0" applyProtection="0"/>
    <xf numFmtId="0" fontId="25" fillId="101" borderId="83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9" fillId="0" borderId="72">
      <alignment horizontal="right"/>
    </xf>
    <xf numFmtId="4" fontId="91" fillId="101" borderId="83" applyNumberFormat="0" applyProtection="0">
      <alignment horizontal="right" vertical="center"/>
    </xf>
    <xf numFmtId="0" fontId="25" fillId="73" borderId="86"/>
    <xf numFmtId="4" fontId="25" fillId="83" borderId="30" applyNumberFormat="0" applyProtection="0">
      <alignment horizontal="left" vertical="center" indent="1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88" fillId="104" borderId="83" applyNumberFormat="0" applyProtection="0">
      <alignment horizontal="left" vertical="center" indent="1"/>
    </xf>
    <xf numFmtId="0" fontId="4" fillId="4" borderId="79" applyNumberFormat="0" applyProtection="0">
      <alignment horizontal="left" vertical="center" indent="1"/>
    </xf>
    <xf numFmtId="4" fontId="25" fillId="82" borderId="30" applyNumberFormat="0" applyProtection="0">
      <alignment vertical="center"/>
    </xf>
    <xf numFmtId="0" fontId="25" fillId="73" borderId="86"/>
    <xf numFmtId="4" fontId="91" fillId="101" borderId="83" applyNumberFormat="0" applyProtection="0">
      <alignment horizontal="right" vertical="center"/>
    </xf>
    <xf numFmtId="0" fontId="25" fillId="73" borderId="86"/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4" fillId="69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8" fontId="4" fillId="0" borderId="77" applyFont="0" applyFill="0" applyBorder="0" applyProtection="0">
      <alignment horizontal="right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5" fillId="0" borderId="78" applyNumberFormat="0" applyFill="0" applyAlignment="0" applyProtection="0"/>
    <xf numFmtId="0" fontId="45" fillId="0" borderId="78" applyNumberFormat="0" applyFill="0" applyAlignment="0" applyProtection="0"/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143" fillId="104" borderId="79" applyNumberFormat="0" applyAlignment="0" applyProtection="0"/>
    <xf numFmtId="0" fontId="143" fillId="104" borderId="79" applyNumberFormat="0" applyAlignment="0" applyProtection="0"/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0" fontId="43" fillId="108" borderId="89" applyNumberFormat="0" applyFont="0" applyAlignment="0" applyProtection="0"/>
    <xf numFmtId="0" fontId="43" fillId="108" borderId="89" applyNumberFormat="0" applyFont="0" applyAlignment="0" applyProtection="0"/>
    <xf numFmtId="0" fontId="138" fillId="116" borderId="88" applyNumberFormat="0" applyAlignment="0" applyProtection="0"/>
    <xf numFmtId="0" fontId="138" fillId="116" borderId="88" applyNumberFormat="0" applyAlignment="0" applyProtection="0"/>
    <xf numFmtId="10" fontId="25" fillId="72" borderId="86" applyNumberFormat="0" applyBorder="0" applyAlignment="0" applyProtection="0"/>
    <xf numFmtId="4" fontId="25" fillId="94" borderId="30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0" fontId="124" fillId="104" borderId="88" applyNumberFormat="0" applyAlignment="0" applyProtection="0"/>
    <xf numFmtId="0" fontId="124" fillId="104" borderId="88" applyNumberFormat="0" applyAlignment="0" applyProtection="0"/>
    <xf numFmtId="0" fontId="123" fillId="0" borderId="87" applyFill="0" applyProtection="0">
      <alignment horizontal="right"/>
    </xf>
    <xf numFmtId="4" fontId="25" fillId="94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0" fontId="25" fillId="73" borderId="86"/>
    <xf numFmtId="4" fontId="48" fillId="68" borderId="85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4" fillId="69" borderId="83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36" fillId="66" borderId="85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38" fillId="69" borderId="83" applyNumberFormat="0" applyProtection="0">
      <alignment vertical="center"/>
    </xf>
    <xf numFmtId="0" fontId="15" fillId="71" borderId="84" applyBorder="0"/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38" fillId="62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8" fillId="54" borderId="83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4" fontId="36" fillId="54" borderId="83" applyNumberFormat="0" applyProtection="0">
      <alignment vertical="center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4" fontId="25" fillId="95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0" fontId="4" fillId="0" borderId="79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94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4" fontId="43" fillId="100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103" borderId="79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38" fillId="64" borderId="83" applyNumberFormat="0" applyProtection="0">
      <alignment horizontal="right" vertical="center"/>
    </xf>
    <xf numFmtId="0" fontId="4" fillId="103" borderId="79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8" borderId="37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43" fillId="103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43" fillId="103" borderId="79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102" borderId="37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25" fillId="96" borderId="30" applyNumberFormat="0" applyProtection="0">
      <alignment horizontal="right" vertical="center"/>
    </xf>
    <xf numFmtId="4" fontId="25" fillId="96" borderId="30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25" fillId="98" borderId="37" applyNumberFormat="0" applyProtection="0">
      <alignment horizontal="left" vertical="center" indent="1"/>
    </xf>
    <xf numFmtId="4" fontId="43" fillId="97" borderId="79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8" fillId="68" borderId="85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25" fillId="95" borderId="30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25" fillId="95" borderId="30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4" fontId="36" fillId="65" borderId="62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36" fillId="66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25" fillId="70" borderId="63" applyNumberFormat="0">
      <protection locked="0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123" fillId="0" borderId="87" applyFill="0" applyProtection="0">
      <alignment horizontal="right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124" fillId="104" borderId="88" applyNumberFormat="0" applyAlignment="0" applyProtection="0"/>
    <xf numFmtId="0" fontId="4" fillId="66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38" fillId="54" borderId="83" applyNumberFormat="0" applyProtection="0">
      <alignment horizontal="left" vertical="center" indent="1"/>
    </xf>
    <xf numFmtId="0" fontId="124" fillId="104" borderId="88" applyNumberFormat="0" applyAlignment="0" applyProtection="0"/>
    <xf numFmtId="0" fontId="43" fillId="72" borderId="83" applyNumberFormat="0" applyProtection="0">
      <alignment horizontal="left" vertical="top" indent="1"/>
    </xf>
    <xf numFmtId="0" fontId="124" fillId="104" borderId="88" applyNumberFormat="0" applyAlignment="0" applyProtection="0"/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1" borderId="30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0" fontId="25" fillId="105" borderId="30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2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25" fillId="88" borderId="37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10" fontId="25" fillId="72" borderId="86" applyNumberFormat="0" applyBorder="0" applyAlignment="0" applyProtection="0"/>
    <xf numFmtId="4" fontId="39" fillId="82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0" fontId="123" fillId="0" borderId="87" applyFill="0" applyProtection="0">
      <alignment horizontal="right"/>
    </xf>
    <xf numFmtId="0" fontId="124" fillId="104" borderId="88" applyNumberFormat="0" applyAlignment="0" applyProtection="0"/>
    <xf numFmtId="0" fontId="124" fillId="104" borderId="88" applyNumberFormat="0" applyAlignment="0" applyProtection="0"/>
    <xf numFmtId="8" fontId="4" fillId="0" borderId="77" applyFont="0" applyFill="0" applyBorder="0" applyProtection="0">
      <alignment horizontal="right"/>
    </xf>
    <xf numFmtId="0" fontId="35" fillId="0" borderId="40" applyNumberFormat="0" applyFill="0" applyAlignment="0" applyProtection="0"/>
    <xf numFmtId="4" fontId="92" fillId="70" borderId="30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" fillId="0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36" fillId="66" borderId="83" applyNumberFormat="0" applyProtection="0">
      <alignment horizontal="left" vertical="center" indent="1"/>
    </xf>
    <xf numFmtId="4" fontId="44" fillId="69" borderId="83" applyNumberFormat="0" applyProtection="0">
      <alignment horizontal="right" vertical="center"/>
    </xf>
    <xf numFmtId="4" fontId="86" fillId="67" borderId="30" applyNumberFormat="0" applyProtection="0">
      <alignment horizontal="right" vertical="center"/>
    </xf>
    <xf numFmtId="4" fontId="85" fillId="100" borderId="79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4" fontId="43" fillId="72" borderId="79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79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85" fillId="72" borderId="79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79" applyNumberFormat="0" applyProtection="0">
      <alignment vertical="center"/>
    </xf>
    <xf numFmtId="4" fontId="91" fillId="101" borderId="83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25" fillId="107" borderId="83" applyNumberFormat="0" applyProtection="0">
      <alignment horizontal="left" vertical="top" indent="1"/>
    </xf>
    <xf numFmtId="0" fontId="25" fillId="107" borderId="30" applyNumberFormat="0" applyProtection="0">
      <alignment horizontal="left" vertical="center" indent="1"/>
    </xf>
    <xf numFmtId="0" fontId="25" fillId="107" borderId="3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0" fontId="25" fillId="105" borderId="30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0" fontId="25" fillId="104" borderId="30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4" fontId="38" fillId="66" borderId="83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4" fontId="25" fillId="102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102" borderId="30" applyNumberFormat="0" applyProtection="0">
      <alignment horizontal="right" vertical="center"/>
    </xf>
    <xf numFmtId="4" fontId="43" fillId="63" borderId="79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4" fontId="43" fillId="93" borderId="79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2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43" fillId="91" borderId="79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25" fillId="90" borderId="30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43" fillId="61" borderId="79" applyNumberFormat="0" applyProtection="0">
      <alignment horizontal="right" vertical="center"/>
    </xf>
    <xf numFmtId="4" fontId="25" fillId="89" borderId="30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43" fillId="56" borderId="79" applyNumberFormat="0" applyProtection="0">
      <alignment horizontal="right" vertical="center"/>
    </xf>
    <xf numFmtId="4" fontId="25" fillId="88" borderId="37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43" fillId="57" borderId="79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5" borderId="30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4" fontId="25" fillId="83" borderId="30" applyNumberFormat="0" applyProtection="0">
      <alignment horizontal="left" vertical="center" indent="1"/>
    </xf>
    <xf numFmtId="0" fontId="138" fillId="116" borderId="88" applyNumberFormat="0" applyAlignment="0" applyProtection="0"/>
    <xf numFmtId="0" fontId="138" fillId="116" borderId="88" applyNumberFormat="0" applyAlignment="0" applyProtection="0"/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200" fontId="127" fillId="0" borderId="49">
      <alignment horizontal="right"/>
    </xf>
    <xf numFmtId="4" fontId="25" fillId="54" borderId="30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4" fontId="38" fillId="54" borderId="83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4" fontId="86" fillId="54" borderId="30" applyNumberFormat="0" applyProtection="0">
      <alignment vertical="center"/>
    </xf>
    <xf numFmtId="4" fontId="25" fillId="82" borderId="30" applyNumberFormat="0" applyProtection="0">
      <alignment vertical="center"/>
    </xf>
    <xf numFmtId="4" fontId="43" fillId="54" borderId="79" applyNumberFormat="0" applyProtection="0">
      <alignment vertical="center"/>
    </xf>
    <xf numFmtId="4" fontId="25" fillId="82" borderId="30" applyNumberFormat="0" applyProtection="0">
      <alignment vertical="center"/>
    </xf>
    <xf numFmtId="0" fontId="39" fillId="54" borderId="83" applyNumberFormat="0" applyProtection="0">
      <alignment horizontal="left" vertical="top" indent="1"/>
    </xf>
    <xf numFmtId="4" fontId="38" fillId="58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0" fontId="81" fillId="79" borderId="79" applyNumberFormat="0" applyAlignment="0" applyProtection="0"/>
    <xf numFmtId="0" fontId="81" fillId="79" borderId="79" applyNumberFormat="0" applyAlignment="0" applyProtection="0"/>
    <xf numFmtId="4" fontId="39" fillId="54" borderId="83" applyNumberFormat="0" applyProtection="0">
      <alignment horizontal="left" vertical="center" indent="1"/>
    </xf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25" fillId="48" borderId="30" applyNumberFormat="0" applyFont="0" applyAlignment="0" applyProtection="0"/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3" fillId="108" borderId="89" applyNumberFormat="0" applyFont="0" applyAlignment="0" applyProtection="0"/>
    <xf numFmtId="0" fontId="43" fillId="108" borderId="89" applyNumberFormat="0" applyFont="0" applyAlignment="0" applyProtection="0"/>
    <xf numFmtId="0" fontId="143" fillId="104" borderId="79" applyNumberFormat="0" applyAlignment="0" applyProtection="0"/>
    <xf numFmtId="0" fontId="143" fillId="104" borderId="79" applyNumberFormat="0" applyAlignment="0" applyProtection="0"/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3" fontId="127" fillId="0" borderId="2"/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90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4" fillId="69" borderId="83" applyNumberFormat="0" applyProtection="0">
      <alignment vertical="center"/>
    </xf>
    <xf numFmtId="4" fontId="85" fillId="72" borderId="83" applyNumberFormat="0" applyProtection="0">
      <alignment vertical="center"/>
    </xf>
    <xf numFmtId="0" fontId="4" fillId="66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95" borderId="30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93" fillId="67" borderId="39">
      <protection locked="0"/>
    </xf>
    <xf numFmtId="49" fontId="95" fillId="110" borderId="39"/>
    <xf numFmtId="0" fontId="130" fillId="0" borderId="51" applyFill="0" applyBorder="0" applyProtection="0">
      <alignment horizontal="left" vertical="top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3" fontId="127" fillId="0" borderId="82"/>
    <xf numFmtId="4" fontId="43" fillId="87" borderId="83" applyNumberFormat="0" applyProtection="0">
      <alignment horizontal="right" vertical="center"/>
    </xf>
    <xf numFmtId="4" fontId="116" fillId="54" borderId="83" applyNumberFormat="0" applyProtection="0">
      <alignment vertical="center"/>
    </xf>
    <xf numFmtId="0" fontId="4" fillId="55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4" fillId="69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116" fillId="54" borderId="83" applyNumberFormat="0" applyProtection="0">
      <alignment vertical="center"/>
    </xf>
    <xf numFmtId="4" fontId="91" fillId="101" borderId="83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83" applyNumberFormat="0" applyProtection="0">
      <alignment horizontal="right" vertical="center"/>
    </xf>
    <xf numFmtId="0" fontId="88" fillId="102" borderId="83" applyNumberFormat="0" applyProtection="0">
      <alignment horizontal="left" vertical="top" indent="1"/>
    </xf>
    <xf numFmtId="4" fontId="25" fillId="0" borderId="30" applyNumberFormat="0" applyProtection="0">
      <alignment horizontal="right" vertical="center"/>
    </xf>
    <xf numFmtId="4" fontId="25" fillId="0" borderId="30" applyNumberFormat="0" applyProtection="0">
      <alignment horizontal="right" vertical="center"/>
    </xf>
    <xf numFmtId="0" fontId="88" fillId="108" borderId="83" applyNumberFormat="0" applyProtection="0">
      <alignment horizontal="left" vertical="top" indent="1"/>
    </xf>
    <xf numFmtId="0" fontId="25" fillId="107" borderId="83" applyNumberFormat="0" applyProtection="0">
      <alignment horizontal="left" vertical="top" indent="1"/>
    </xf>
    <xf numFmtId="4" fontId="43" fillId="95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9" fillId="69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4" fillId="69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4" fillId="69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38" fillId="69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25" fillId="92" borderId="30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3" fillId="58" borderId="79" applyNumberFormat="0" applyProtection="0">
      <alignment horizontal="right" vertical="center"/>
    </xf>
    <xf numFmtId="4" fontId="25" fillId="86" borderId="30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25" fillId="54" borderId="30" applyNumberFormat="0" applyProtection="0">
      <alignment horizontal="left" vertical="center" indent="1"/>
    </xf>
    <xf numFmtId="4" fontId="25" fillId="54" borderId="30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143" fillId="104" borderId="79" applyNumberFormat="0" applyAlignment="0" applyProtection="0"/>
    <xf numFmtId="0" fontId="143" fillId="104" borderId="79" applyNumberFormat="0" applyAlignment="0" applyProtection="0"/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7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0" fontId="4" fillId="84" borderId="79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3" fillId="63" borderId="79" applyNumberFormat="0" applyProtection="0">
      <alignment horizontal="right" vertical="center"/>
    </xf>
    <xf numFmtId="0" fontId="43" fillId="108" borderId="89" applyNumberFormat="0" applyFont="0" applyAlignment="0" applyProtection="0"/>
    <xf numFmtId="0" fontId="43" fillId="108" borderId="89" applyNumberFormat="0" applyFont="0" applyAlignment="0" applyProtection="0"/>
    <xf numFmtId="0" fontId="138" fillId="116" borderId="88" applyNumberFormat="0" applyAlignment="0" applyProtection="0"/>
    <xf numFmtId="0" fontId="138" fillId="116" borderId="88" applyNumberFormat="0" applyAlignment="0" applyProtection="0"/>
    <xf numFmtId="4" fontId="43" fillId="54" borderId="79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4" fontId="43" fillId="93" borderId="79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0" fontId="124" fillId="104" borderId="88" applyNumberFormat="0" applyAlignment="0" applyProtection="0"/>
    <xf numFmtId="0" fontId="124" fillId="104" borderId="88" applyNumberFormat="0" applyAlignment="0" applyProtection="0"/>
    <xf numFmtId="0" fontId="123" fillId="0" borderId="87" applyFill="0" applyProtection="0">
      <alignment horizontal="right"/>
    </xf>
    <xf numFmtId="4" fontId="25" fillId="94" borderId="30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4" fontId="25" fillId="94" borderId="30" applyNumberFormat="0" applyProtection="0">
      <alignment horizontal="right" vertical="center"/>
    </xf>
    <xf numFmtId="4" fontId="49" fillId="69" borderId="83" applyNumberFormat="0" applyProtection="0">
      <alignment horizontal="right" vertical="center"/>
    </xf>
    <xf numFmtId="4" fontId="48" fillId="68" borderId="85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4" fontId="44" fillId="69" borderId="83" applyNumberFormat="0" applyProtection="0">
      <alignment horizontal="right" vertical="center"/>
    </xf>
    <xf numFmtId="4" fontId="38" fillId="69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36" fillId="66" borderId="85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4" fontId="38" fillId="69" borderId="83" applyNumberFormat="0" applyProtection="0">
      <alignment vertical="center"/>
    </xf>
    <xf numFmtId="0" fontId="15" fillId="71" borderId="84" applyBorder="0"/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4" fontId="38" fillId="62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38" fillId="59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38" fillId="58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8" fillId="54" borderId="83" applyNumberFormat="0" applyProtection="0">
      <alignment horizontal="left" vertical="center" indent="1"/>
    </xf>
    <xf numFmtId="4" fontId="37" fillId="54" borderId="83" applyNumberFormat="0" applyProtection="0">
      <alignment vertical="center"/>
    </xf>
    <xf numFmtId="4" fontId="36" fillId="54" borderId="83" applyNumberFormat="0" applyProtection="0">
      <alignment vertical="center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44" fontId="2" fillId="0" borderId="0" applyFont="0" applyFill="0" applyBorder="0" applyAlignment="0" applyProtection="0"/>
    <xf numFmtId="4" fontId="25" fillId="95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25" fillId="94" borderId="30" applyNumberFormat="0" applyProtection="0">
      <alignment horizontal="right" vertical="center"/>
    </xf>
    <xf numFmtId="4" fontId="43" fillId="64" borderId="79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25" fillId="83" borderId="30" applyNumberFormat="0" applyProtection="0">
      <alignment horizontal="left" vertical="center" indent="1"/>
    </xf>
    <xf numFmtId="4" fontId="25" fillId="95" borderId="30" applyNumberFormat="0" applyProtection="0">
      <alignment horizontal="right" vertical="center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25" fillId="83" borderId="30" applyNumberFormat="0" applyProtection="0">
      <alignment horizontal="left" vertical="center" indent="1"/>
    </xf>
    <xf numFmtId="200" fontId="127" fillId="0" borderId="49">
      <alignment horizontal="right"/>
    </xf>
    <xf numFmtId="0" fontId="4" fillId="66" borderId="83" applyNumberFormat="0" applyProtection="0">
      <alignment horizontal="left" vertical="center" indent="1"/>
    </xf>
    <xf numFmtId="0" fontId="138" fillId="116" borderId="88" applyNumberFormat="0" applyAlignment="0" applyProtection="0"/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96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3" fontId="2" fillId="0" borderId="0" applyFont="0" applyFill="0" applyBorder="0" applyAlignment="0" applyProtection="0"/>
    <xf numFmtId="0" fontId="130" fillId="0" borderId="51" applyFill="0" applyBorder="0" applyProtection="0">
      <alignment horizontal="left" vertical="top"/>
    </xf>
    <xf numFmtId="4" fontId="43" fillId="92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200" fontId="127" fillId="0" borderId="49">
      <alignment horizontal="right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0" fontId="39" fillId="54" borderId="83" applyNumberFormat="0" applyProtection="0">
      <alignment horizontal="left" vertical="top" indent="1"/>
    </xf>
    <xf numFmtId="4" fontId="39" fillId="54" borderId="83" applyNumberFormat="0" applyProtection="0">
      <alignment horizontal="left" vertical="center" indent="1"/>
    </xf>
    <xf numFmtId="0" fontId="143" fillId="104" borderId="79" applyNumberFormat="0" applyAlignment="0" applyProtection="0"/>
    <xf numFmtId="0" fontId="143" fillId="104" borderId="79" applyNumberFormat="0" applyAlignment="0" applyProtection="0"/>
    <xf numFmtId="4" fontId="39" fillId="54" borderId="83" applyNumberFormat="0" applyProtection="0">
      <alignment horizontal="left" vertical="center" indent="1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82" borderId="83" applyNumberFormat="0" applyProtection="0">
      <alignment vertical="center"/>
    </xf>
    <xf numFmtId="0" fontId="4" fillId="69" borderId="83" applyNumberFormat="0" applyProtection="0">
      <alignment horizontal="left" vertical="center" indent="1"/>
    </xf>
    <xf numFmtId="0" fontId="43" fillId="108" borderId="89" applyNumberFormat="0" applyFont="0" applyAlignment="0" applyProtection="0"/>
    <xf numFmtId="0" fontId="138" fillId="116" borderId="88" applyNumberFormat="0" applyAlignment="0" applyProtection="0"/>
    <xf numFmtId="4" fontId="44" fillId="69" borderId="83" applyNumberFormat="0" applyProtection="0">
      <alignment horizontal="right" vertical="center"/>
    </xf>
    <xf numFmtId="4" fontId="36" fillId="66" borderId="85" applyNumberFormat="0" applyProtection="0">
      <alignment horizontal="left" vertical="center" indent="1"/>
    </xf>
    <xf numFmtId="4" fontId="38" fillId="69" borderId="83" applyNumberFormat="0" applyProtection="0">
      <alignment vertical="center"/>
    </xf>
    <xf numFmtId="0" fontId="15" fillId="71" borderId="84" applyBorder="0"/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4" fontId="38" fillId="6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38" fillId="57" borderId="83" applyNumberFormat="0" applyProtection="0">
      <alignment horizontal="right" vertical="center"/>
    </xf>
    <xf numFmtId="4" fontId="38" fillId="56" borderId="83" applyNumberFormat="0" applyProtection="0">
      <alignment horizontal="right" vertical="center"/>
    </xf>
    <xf numFmtId="4" fontId="37" fillId="54" borderId="83" applyNumberFormat="0" applyProtection="0">
      <alignment vertical="center"/>
    </xf>
    <xf numFmtId="4" fontId="36" fillId="54" borderId="83" applyNumberFormat="0" applyProtection="0">
      <alignment vertical="center"/>
    </xf>
    <xf numFmtId="0" fontId="39" fillId="0" borderId="80" applyNumberFormat="0" applyFill="0" applyAlignment="0" applyProtection="0"/>
    <xf numFmtId="0" fontId="39" fillId="0" borderId="80" applyNumberFormat="0" applyFill="0" applyAlignment="0" applyProtection="0"/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0" fontId="4" fillId="68" borderId="83" applyNumberFormat="0" applyProtection="0">
      <alignment horizontal="left" vertical="top" indent="1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39" fillId="82" borderId="83" applyNumberFormat="0" applyProtection="0">
      <alignment vertical="center"/>
    </xf>
    <xf numFmtId="4" fontId="116" fillId="54" borderId="83" applyNumberFormat="0" applyProtection="0">
      <alignment vertical="center"/>
    </xf>
    <xf numFmtId="3" fontId="127" fillId="0" borderId="82"/>
    <xf numFmtId="4" fontId="116" fillId="54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0" fontId="39" fillId="54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130" fillId="0" borderId="51" applyFill="0" applyBorder="0" applyProtection="0">
      <alignment horizontal="left" vertical="top"/>
    </xf>
    <xf numFmtId="0" fontId="39" fillId="0" borderId="80" applyNumberFormat="0" applyFill="0" applyAlignment="0" applyProtection="0"/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91" fillId="101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4" fillId="69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38" fillId="6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4" fontId="43" fillId="95" borderId="83" applyNumberFormat="0" applyProtection="0">
      <alignment horizontal="right" vertical="center"/>
    </xf>
    <xf numFmtId="4" fontId="38" fillId="6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90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38" fillId="60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4" fontId="38" fillId="5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85" borderId="83" applyNumberFormat="0" applyProtection="0">
      <alignment horizontal="right" vertical="center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3" fillId="96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4" fontId="43" fillId="94" borderId="83" applyNumberFormat="0" applyProtection="0">
      <alignment horizontal="right" vertical="center"/>
    </xf>
    <xf numFmtId="0" fontId="124" fillId="104" borderId="88" applyNumberFormat="0" applyAlignment="0" applyProtection="0"/>
    <xf numFmtId="0" fontId="4" fillId="66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3" fillId="108" borderId="89" applyNumberFormat="0" applyFont="0" applyAlignment="0" applyProtection="0"/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3" fillId="90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3" fontId="127" fillId="0" borderId="82"/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90" borderId="83" applyNumberFormat="0" applyProtection="0">
      <alignment horizontal="right" vertical="center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4" fontId="43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0" fontId="143" fillId="104" borderId="79" applyNumberFormat="0" applyAlignment="0" applyProtection="0"/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3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130" fillId="0" borderId="51" applyFill="0" applyBorder="0" applyProtection="0">
      <alignment horizontal="left" vertical="top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3" fontId="127" fillId="0" borderId="82"/>
    <xf numFmtId="0" fontId="43" fillId="72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0" fontId="4" fillId="68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5" fillId="101" borderId="83" applyNumberFormat="0" applyProtection="0">
      <alignment horizontal="right" vertical="center"/>
    </xf>
    <xf numFmtId="0" fontId="43" fillId="72" borderId="83" applyNumberFormat="0" applyProtection="0">
      <alignment horizontal="left" vertical="top" indent="1"/>
    </xf>
    <xf numFmtId="0" fontId="43" fillId="72" borderId="83" applyNumberFormat="0" applyProtection="0">
      <alignment horizontal="left" vertical="top" indent="1"/>
    </xf>
    <xf numFmtId="4" fontId="116" fillId="54" borderId="83" applyNumberFormat="0" applyProtection="0">
      <alignment vertical="center"/>
    </xf>
    <xf numFmtId="4" fontId="116" fillId="54" borderId="83" applyNumberFormat="0" applyProtection="0">
      <alignment vertical="center"/>
    </xf>
    <xf numFmtId="4" fontId="39" fillId="82" borderId="83" applyNumberFormat="0" applyProtection="0">
      <alignment vertical="center"/>
    </xf>
    <xf numFmtId="0" fontId="4" fillId="69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143" fillId="104" borderId="79" applyNumberFormat="0" applyAlignment="0" applyProtection="0"/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4" fontId="43" fillId="102" borderId="83" applyNumberFormat="0" applyProtection="0">
      <alignment horizontal="left" vertical="center" indent="1"/>
    </xf>
    <xf numFmtId="0" fontId="139" fillId="0" borderId="72">
      <alignment horizontal="right"/>
    </xf>
    <xf numFmtId="0" fontId="139" fillId="0" borderId="72">
      <alignment horizontal="left"/>
    </xf>
    <xf numFmtId="0" fontId="4" fillId="55" borderId="83" applyNumberFormat="0" applyProtection="0">
      <alignment horizontal="left" vertical="center" indent="1"/>
    </xf>
    <xf numFmtId="4" fontId="43" fillId="102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84" fillId="0" borderId="72">
      <alignment horizontal="center"/>
    </xf>
    <xf numFmtId="49" fontId="95" fillId="110" borderId="39"/>
    <xf numFmtId="0" fontId="93" fillId="67" borderId="39">
      <protection locked="0"/>
    </xf>
    <xf numFmtId="0" fontId="4" fillId="55" borderId="83" applyNumberFormat="0" applyProtection="0">
      <alignment horizontal="left" vertical="top" indent="1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5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7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8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89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38" fillId="61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0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2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38" fillId="63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4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5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38" fillId="6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96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4" fontId="43" fillId="102" borderId="83" applyNumberFormat="0" applyProtection="0">
      <alignment horizontal="right" vertical="center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38" fillId="69" borderId="83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4" fontId="36" fillId="66" borderId="85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4" fontId="43" fillId="72" borderId="83" applyNumberFormat="0" applyProtection="0">
      <alignment horizontal="left" vertical="center" indent="1"/>
    </xf>
    <xf numFmtId="0" fontId="43" fillId="72" borderId="83" applyNumberFormat="0" applyProtection="0">
      <alignment horizontal="left" vertical="top" indent="1"/>
    </xf>
    <xf numFmtId="4" fontId="43" fillId="72" borderId="83" applyNumberFormat="0" applyProtection="0">
      <alignment horizontal="left" vertical="center" indent="1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43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4" fontId="43" fillId="102" borderId="83" applyNumberFormat="0" applyProtection="0">
      <alignment horizontal="left" vertical="center" indent="1"/>
    </xf>
    <xf numFmtId="0" fontId="39" fillId="0" borderId="80" applyNumberFormat="0" applyFill="0" applyAlignment="0" applyProtection="0"/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102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6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4" fontId="43" fillId="72" borderId="83" applyNumberFormat="0" applyProtection="0">
      <alignment vertical="center"/>
    </xf>
    <xf numFmtId="0" fontId="62" fillId="77" borderId="59" applyNumberFormat="0" applyAlignment="0" applyProtection="0"/>
    <xf numFmtId="4" fontId="85" fillId="72" borderId="83" applyNumberFormat="0" applyProtection="0">
      <alignment vertical="center"/>
    </xf>
    <xf numFmtId="0" fontId="62" fillId="77" borderId="59" applyNumberFormat="0" applyAlignment="0" applyProtection="0"/>
    <xf numFmtId="4" fontId="85" fillId="72" borderId="83" applyNumberFormat="0" applyProtection="0">
      <alignment vertical="center"/>
    </xf>
    <xf numFmtId="4" fontId="43" fillId="102" borderId="83" applyNumberFormat="0" applyProtection="0">
      <alignment horizontal="left" vertical="center" indent="1"/>
    </xf>
    <xf numFmtId="4" fontId="43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4" fontId="39" fillId="54" borderId="83" applyNumberFormat="0" applyProtection="0">
      <alignment horizontal="left" vertical="center" indent="1"/>
    </xf>
    <xf numFmtId="0" fontId="39" fillId="54" borderId="83" applyNumberFormat="0" applyProtection="0">
      <alignment horizontal="left" vertical="top" indent="1"/>
    </xf>
    <xf numFmtId="4" fontId="85" fillId="101" borderId="83" applyNumberFormat="0" applyProtection="0">
      <alignment horizontal="right" vertical="center"/>
    </xf>
    <xf numFmtId="4" fontId="39" fillId="54" borderId="83" applyNumberFormat="0" applyProtection="0">
      <alignment horizontal="left" vertical="center" indent="1"/>
    </xf>
    <xf numFmtId="0" fontId="4" fillId="55" borderId="83" applyNumberFormat="0" applyProtection="0">
      <alignment horizontal="left" vertical="top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4" fontId="43" fillId="95" borderId="83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" fontId="85" fillId="72" borderId="83" applyNumberFormat="0" applyProtection="0">
      <alignment vertical="center"/>
    </xf>
    <xf numFmtId="0" fontId="4" fillId="66" borderId="83" applyNumberFormat="0" applyProtection="0">
      <alignment horizontal="left" vertical="center" indent="1"/>
    </xf>
    <xf numFmtId="4" fontId="85" fillId="101" borderId="83" applyNumberFormat="0" applyProtection="0">
      <alignment horizontal="right" vertical="center"/>
    </xf>
    <xf numFmtId="195" fontId="148" fillId="0" borderId="81" applyBorder="0" applyProtection="0">
      <alignment horizontal="right" vertical="center"/>
    </xf>
    <xf numFmtId="0" fontId="149" fillId="125" borderId="81" applyBorder="0" applyProtection="0">
      <alignment horizontal="centerContinuous" vertical="center"/>
    </xf>
    <xf numFmtId="0" fontId="4" fillId="55" borderId="83" applyNumberFormat="0" applyProtection="0">
      <alignment horizontal="left" vertical="top" indent="1"/>
    </xf>
    <xf numFmtId="0" fontId="4" fillId="55" borderId="83" applyNumberFormat="0" applyProtection="0">
      <alignment horizontal="left" vertical="top" indent="1"/>
    </xf>
    <xf numFmtId="0" fontId="139" fillId="0" borderId="72">
      <alignment horizontal="right"/>
    </xf>
    <xf numFmtId="4" fontId="85" fillId="101" borderId="83" applyNumberFormat="0" applyProtection="0">
      <alignment horizontal="right" vertical="center"/>
    </xf>
    <xf numFmtId="4" fontId="85" fillId="101" borderId="83" applyNumberFormat="0" applyProtection="0">
      <alignment horizontal="right" vertical="center"/>
    </xf>
    <xf numFmtId="0" fontId="4" fillId="68" borderId="83" applyNumberFormat="0" applyProtection="0">
      <alignment horizontal="left" vertical="top" indent="1"/>
    </xf>
    <xf numFmtId="0" fontId="62" fillId="77" borderId="59" applyNumberFormat="0" applyAlignment="0" applyProtection="0"/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0" fontId="43" fillId="68" borderId="83" applyNumberFormat="0" applyProtection="0">
      <alignment horizontal="left" vertical="top" indent="1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91" fillId="101" borderId="83" applyNumberFormat="0" applyProtection="0">
      <alignment horizontal="right" vertical="center"/>
    </xf>
    <xf numFmtId="4" fontId="36" fillId="66" borderId="83" applyNumberFormat="0" applyProtection="0">
      <alignment horizontal="left" vertical="center" indent="1"/>
    </xf>
    <xf numFmtId="0" fontId="4" fillId="68" borderId="83" applyNumberFormat="0" applyProtection="0">
      <alignment horizontal="left" vertical="top" indent="1"/>
    </xf>
    <xf numFmtId="0" fontId="4" fillId="66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center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25" fillId="73" borderId="86"/>
    <xf numFmtId="4" fontId="43" fillId="102" borderId="83" applyNumberFormat="0" applyProtection="0">
      <alignment horizontal="left" vertical="center" indent="1"/>
    </xf>
    <xf numFmtId="0" fontId="138" fillId="116" borderId="88" applyNumberFormat="0" applyAlignment="0" applyProtection="0"/>
    <xf numFmtId="10" fontId="25" fillId="72" borderId="86" applyNumberFormat="0" applyBorder="0" applyAlignment="0" applyProtection="0"/>
    <xf numFmtId="0" fontId="43" fillId="108" borderId="89" applyNumberFormat="0" applyFont="0" applyAlignment="0" applyProtection="0"/>
    <xf numFmtId="0" fontId="4" fillId="69" borderId="83" applyNumberFormat="0" applyProtection="0">
      <alignment horizontal="left" vertical="top" indent="1"/>
    </xf>
    <xf numFmtId="4" fontId="38" fillId="66" borderId="83" applyNumberFormat="0" applyProtection="0">
      <alignment horizontal="right" vertical="center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4" fontId="43" fillId="102" borderId="83" applyNumberFormat="0" applyProtection="0">
      <alignment horizontal="right" vertical="center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0" fontId="4" fillId="69" borderId="83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5" fillId="72" borderId="83" applyNumberFormat="0" applyProtection="0">
      <alignment vertical="center"/>
    </xf>
    <xf numFmtId="4" fontId="43" fillId="72" borderId="83" applyNumberFormat="0" applyProtection="0">
      <alignment horizontal="left" vertical="center" indent="1"/>
    </xf>
    <xf numFmtId="4" fontId="85" fillId="72" borderId="83" applyNumberFormat="0" applyProtection="0">
      <alignment vertical="center"/>
    </xf>
    <xf numFmtId="4" fontId="85" fillId="72" borderId="83" applyNumberFormat="0" applyProtection="0">
      <alignment vertical="center"/>
    </xf>
    <xf numFmtId="0" fontId="4" fillId="69" borderId="83" applyNumberFormat="0" applyProtection="0">
      <alignment horizontal="left" vertical="top" indent="1"/>
    </xf>
    <xf numFmtId="0" fontId="25" fillId="101" borderId="83" applyNumberFormat="0" applyProtection="0">
      <alignment horizontal="left" vertical="top" indent="1"/>
    </xf>
    <xf numFmtId="0" fontId="87" fillId="82" borderId="83" applyNumberFormat="0" applyProtection="0">
      <alignment horizontal="left" vertical="top" indent="1"/>
    </xf>
    <xf numFmtId="0" fontId="33" fillId="78" borderId="0" applyNumberFormat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92" fillId="70" borderId="30" applyNumberFormat="0" applyProtection="0">
      <alignment horizontal="right" vertical="center"/>
    </xf>
    <xf numFmtId="0" fontId="56" fillId="32" borderId="0" applyNumberFormat="0" applyBorder="0" applyAlignment="0" applyProtection="0"/>
    <xf numFmtId="0" fontId="33" fillId="77" borderId="0" applyNumberFormat="0" applyBorder="0" applyAlignment="0" applyProtection="0"/>
    <xf numFmtId="4" fontId="91" fillId="100" borderId="79" applyNumberFormat="0" applyProtection="0">
      <alignment horizontal="right" vertical="center"/>
    </xf>
    <xf numFmtId="44" fontId="4" fillId="0" borderId="0" applyFont="0" applyFill="0" applyBorder="0" applyAlignment="0" applyProtection="0"/>
    <xf numFmtId="200" fontId="127" fillId="0" borderId="94">
      <alignment horizontal="right"/>
    </xf>
    <xf numFmtId="44" fontId="4" fillId="0" borderId="0" applyFont="0" applyFill="0" applyBorder="0" applyAlignment="0" applyProtection="0"/>
    <xf numFmtId="4" fontId="25" fillId="102" borderId="37" applyNumberFormat="0" applyProtection="0">
      <alignment horizontal="left" vertical="center" indent="1"/>
    </xf>
    <xf numFmtId="0" fontId="4" fillId="106" borderId="79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8" fillId="108" borderId="83" applyNumberFormat="0" applyProtection="0">
      <alignment vertical="center"/>
    </xf>
    <xf numFmtId="0" fontId="4" fillId="0" borderId="0"/>
    <xf numFmtId="49" fontId="95" fillId="110" borderId="92"/>
    <xf numFmtId="4" fontId="25" fillId="83" borderId="30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43" fillId="0" borderId="83" applyNumberFormat="0" applyProtection="0">
      <alignment horizontal="left" vertical="center" indent="1"/>
    </xf>
    <xf numFmtId="0" fontId="4" fillId="0" borderId="0"/>
    <xf numFmtId="4" fontId="43" fillId="72" borderId="79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85" fillId="100" borderId="79" applyNumberFormat="0" applyProtection="0">
      <alignment horizontal="right" vertical="center"/>
    </xf>
    <xf numFmtId="0" fontId="4" fillId="103" borderId="7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33" fillId="76" borderId="0" applyNumberFormat="0" applyBorder="0" applyAlignment="0" applyProtection="0"/>
    <xf numFmtId="4" fontId="4" fillId="71" borderId="37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0" fontId="56" fillId="20" borderId="0" applyNumberFormat="0" applyBorder="0" applyAlignment="0" applyProtection="0"/>
    <xf numFmtId="43" fontId="4" fillId="0" borderId="0" applyFont="0" applyFill="0" applyBorder="0" applyAlignment="0" applyProtection="0"/>
    <xf numFmtId="0" fontId="56" fillId="24" borderId="0" applyNumberFormat="0" applyBorder="0" applyAlignment="0" applyProtection="0"/>
    <xf numFmtId="0" fontId="25" fillId="101" borderId="30" applyNumberFormat="0" applyProtection="0">
      <alignment horizontal="left" vertical="center" indent="1"/>
    </xf>
    <xf numFmtId="0" fontId="56" fillId="12" borderId="0" applyNumberFormat="0" applyBorder="0" applyAlignment="0" applyProtection="0"/>
    <xf numFmtId="195" fontId="148" fillId="0" borderId="81" applyBorder="0" applyProtection="0">
      <alignment horizontal="right" vertical="center"/>
    </xf>
    <xf numFmtId="0" fontId="149" fillId="125" borderId="81" applyBorder="0" applyProtection="0">
      <alignment horizontal="centerContinuous" vertical="center"/>
    </xf>
    <xf numFmtId="0" fontId="4" fillId="4" borderId="79" applyNumberFormat="0" applyProtection="0">
      <alignment horizontal="left" vertical="center" indent="1"/>
    </xf>
    <xf numFmtId="4" fontId="25" fillId="101" borderId="37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25" fillId="71" borderId="83" applyNumberFormat="0" applyProtection="0">
      <alignment horizontal="left" vertical="top" indent="1"/>
    </xf>
    <xf numFmtId="0" fontId="25" fillId="102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4" fillId="103" borderId="79" applyNumberFormat="0" applyProtection="0">
      <alignment horizontal="left" vertical="center" indent="1"/>
    </xf>
    <xf numFmtId="4" fontId="43" fillId="54" borderId="79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25" fillId="83" borderId="30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56" fillId="16" borderId="0" applyNumberFormat="0" applyBorder="0" applyAlignment="0" applyProtection="0"/>
    <xf numFmtId="43" fontId="4" fillId="0" borderId="0" applyFont="0" applyFill="0" applyBorder="0" applyAlignment="0" applyProtection="0"/>
    <xf numFmtId="0" fontId="25" fillId="102" borderId="83" applyNumberFormat="0" applyProtection="0">
      <alignment horizontal="left" vertical="top" indent="1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3" fillId="75" borderId="0" applyNumberFormat="0" applyBorder="0" applyAlignment="0" applyProtection="0"/>
    <xf numFmtId="4" fontId="88" fillId="104" borderId="83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5" fillId="101" borderId="83" applyNumberFormat="0" applyProtection="0">
      <alignment horizontal="left" vertical="top" indent="1"/>
    </xf>
    <xf numFmtId="0" fontId="4" fillId="84" borderId="79" applyNumberFormat="0" applyProtection="0">
      <alignment horizontal="left" vertical="center" indent="1"/>
    </xf>
    <xf numFmtId="0" fontId="149" fillId="125" borderId="81" applyBorder="0" applyProtection="0">
      <alignment horizontal="centerContinuous" vertical="center"/>
    </xf>
    <xf numFmtId="195" fontId="148" fillId="0" borderId="81" applyBorder="0" applyProtection="0">
      <alignment horizontal="right" vertical="center"/>
    </xf>
    <xf numFmtId="0" fontId="33" fillId="74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79" applyNumberFormat="0" applyProtection="0">
      <alignment horizontal="left" vertical="center" indent="1"/>
    </xf>
    <xf numFmtId="0" fontId="25" fillId="101" borderId="83" applyNumberFormat="0" applyProtection="0">
      <alignment horizontal="left" vertical="top" indent="1"/>
    </xf>
    <xf numFmtId="0" fontId="25" fillId="71" borderId="83" applyNumberFormat="0" applyProtection="0">
      <alignment horizontal="left" vertical="top" indent="1"/>
    </xf>
    <xf numFmtId="0" fontId="4" fillId="106" borderId="79" applyNumberFormat="0" applyProtection="0">
      <alignment horizontal="left" vertical="center" indent="1"/>
    </xf>
    <xf numFmtId="4" fontId="85" fillId="54" borderId="79" applyNumberFormat="0" applyProtection="0">
      <alignment vertical="center"/>
    </xf>
    <xf numFmtId="0" fontId="88" fillId="108" borderId="83" applyNumberFormat="0" applyProtection="0">
      <alignment horizontal="left" vertical="top" indent="1"/>
    </xf>
    <xf numFmtId="0" fontId="56" fillId="16" borderId="0" applyNumberFormat="0" applyBorder="0" applyAlignment="0" applyProtection="0"/>
    <xf numFmtId="0" fontId="56" fillId="28" borderId="0" applyNumberFormat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5" fillId="105" borderId="30" applyNumberFormat="0" applyProtection="0">
      <alignment horizontal="left" vertical="center" indent="1"/>
    </xf>
    <xf numFmtId="4" fontId="43" fillId="72" borderId="79" applyNumberFormat="0" applyProtection="0">
      <alignment vertical="center"/>
    </xf>
    <xf numFmtId="0" fontId="33" fillId="38" borderId="0" applyNumberFormat="0" applyBorder="0" applyAlignment="0" applyProtection="0"/>
    <xf numFmtId="44" fontId="1" fillId="0" borderId="0" applyFont="0" applyFill="0" applyBorder="0" applyAlignment="0" applyProtection="0"/>
    <xf numFmtId="0" fontId="56" fillId="20" borderId="0" applyNumberFormat="0" applyBorder="0" applyAlignment="0" applyProtection="0"/>
    <xf numFmtId="0" fontId="4" fillId="84" borderId="79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25" fillId="107" borderId="83" applyNumberFormat="0" applyProtection="0">
      <alignment horizontal="left" vertical="top" indent="1"/>
    </xf>
    <xf numFmtId="4" fontId="25" fillId="83" borderId="30" applyNumberFormat="0" applyProtection="0">
      <alignment horizontal="left" vertical="center" indent="1"/>
    </xf>
    <xf numFmtId="0" fontId="4" fillId="0" borderId="0"/>
    <xf numFmtId="4" fontId="25" fillId="83" borderId="30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83" fillId="121" borderId="12" applyNumberFormat="0" applyFont="0" applyAlignment="0" applyProtection="0"/>
    <xf numFmtId="0" fontId="33" fillId="77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5" fillId="104" borderId="30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4" borderId="79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25" fillId="102" borderId="83" applyNumberFormat="0" applyProtection="0">
      <alignment horizontal="left" vertical="top" indent="1"/>
    </xf>
    <xf numFmtId="4" fontId="85" fillId="72" borderId="79" applyNumberFormat="0" applyProtection="0">
      <alignment vertical="center"/>
    </xf>
    <xf numFmtId="0" fontId="4" fillId="0" borderId="0"/>
    <xf numFmtId="0" fontId="33" fillId="78" borderId="0" applyNumberFormat="0" applyBorder="0" applyAlignment="0" applyProtection="0"/>
    <xf numFmtId="0" fontId="33" fillId="75" borderId="0" applyNumberFormat="0" applyBorder="0" applyAlignment="0" applyProtection="0"/>
    <xf numFmtId="0" fontId="56" fillId="12" borderId="0" applyNumberFormat="0" applyBorder="0" applyAlignment="0" applyProtection="0"/>
    <xf numFmtId="4" fontId="43" fillId="72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4" fillId="4" borderId="79" applyNumberFormat="0" applyProtection="0">
      <alignment horizontal="left" vertical="center" indent="1"/>
    </xf>
    <xf numFmtId="0" fontId="33" fillId="76" borderId="0" applyNumberFormat="0" applyBorder="0" applyAlignment="0" applyProtection="0"/>
    <xf numFmtId="0" fontId="25" fillId="107" borderId="83" applyNumberFormat="0" applyProtection="0">
      <alignment horizontal="left" vertical="top" indent="1"/>
    </xf>
    <xf numFmtId="0" fontId="4" fillId="0" borderId="79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6" fillId="54" borderId="30" applyNumberFormat="0" applyProtection="0">
      <alignment vertical="center"/>
    </xf>
    <xf numFmtId="0" fontId="4" fillId="84" borderId="79" applyNumberFormat="0" applyProtection="0">
      <alignment horizontal="left" vertical="center" indent="1"/>
    </xf>
    <xf numFmtId="0" fontId="4" fillId="84" borderId="79" applyNumberFormat="0" applyProtection="0">
      <alignment horizontal="left" vertical="center" indent="1"/>
    </xf>
    <xf numFmtId="0" fontId="56" fillId="24" borderId="0" applyNumberFormat="0" applyBorder="0" applyAlignment="0" applyProtection="0"/>
    <xf numFmtId="44" fontId="4" fillId="0" borderId="0" applyFont="0" applyFill="0" applyBorder="0" applyAlignment="0" applyProtection="0"/>
    <xf numFmtId="4" fontId="4" fillId="71" borderId="37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95" fontId="148" fillId="0" borderId="60" applyBorder="0" applyProtection="0">
      <alignment horizontal="right"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3" fillId="74" borderId="0" applyNumberFormat="0" applyBorder="0" applyAlignment="0" applyProtection="0"/>
    <xf numFmtId="0" fontId="33" fillId="38" borderId="0" applyNumberFormat="0" applyBorder="0" applyAlignment="0" applyProtection="0"/>
    <xf numFmtId="0" fontId="4" fillId="0" borderId="0"/>
    <xf numFmtId="4" fontId="86" fillId="67" borderId="30" applyNumberFormat="0" applyProtection="0">
      <alignment horizontal="right" vertical="center"/>
    </xf>
    <xf numFmtId="0" fontId="93" fillId="67" borderId="92">
      <protection locked="0"/>
    </xf>
    <xf numFmtId="4" fontId="25" fillId="102" borderId="30" applyNumberFormat="0" applyProtection="0">
      <alignment horizontal="right" vertical="center"/>
    </xf>
    <xf numFmtId="0" fontId="89" fillId="0" borderId="0"/>
    <xf numFmtId="0" fontId="4" fillId="106" borderId="79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0" fillId="79" borderId="95" applyNumberFormat="0" applyAlignment="0" applyProtection="0"/>
    <xf numFmtId="0" fontId="60" fillId="79" borderId="95" applyNumberFormat="0" applyAlignment="0" applyProtection="0"/>
    <xf numFmtId="0" fontId="73" fillId="49" borderId="95" applyNumberFormat="0" applyAlignment="0" applyProtection="0"/>
    <xf numFmtId="0" fontId="73" fillId="49" borderId="95" applyNumberFormat="0" applyAlignment="0" applyProtection="0"/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86" fillId="54" borderId="95" applyNumberFormat="0" applyProtection="0">
      <alignment vertical="center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4" fontId="4" fillId="71" borderId="96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4" fontId="4" fillId="71" borderId="96" applyNumberFormat="0" applyProtection="0">
      <alignment horizontal="left" vertical="center" indent="1"/>
    </xf>
    <xf numFmtId="4" fontId="4" fillId="71" borderId="96" applyNumberFormat="0" applyProtection="0">
      <alignment horizontal="left" vertical="center" indent="1"/>
    </xf>
    <xf numFmtId="4" fontId="4" fillId="71" borderId="96" applyNumberFormat="0" applyProtection="0">
      <alignment horizontal="left" vertical="center" indent="1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86" fillId="67" borderId="95" applyNumberFormat="0" applyProtection="0">
      <alignment horizontal="right" vertical="center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90" fillId="109" borderId="96" applyNumberFormat="0" applyProtection="0">
      <alignment horizontal="left" vertical="center" indent="1"/>
    </xf>
    <xf numFmtId="4" fontId="92" fillId="70" borderId="95" applyNumberFormat="0" applyProtection="0">
      <alignment horizontal="right" vertical="center"/>
    </xf>
    <xf numFmtId="0" fontId="35" fillId="0" borderId="98" applyNumberFormat="0" applyFill="0" applyAlignment="0" applyProtection="0"/>
    <xf numFmtId="0" fontId="35" fillId="0" borderId="98" applyNumberFormat="0" applyFill="0" applyAlignment="0" applyProtection="0"/>
    <xf numFmtId="0" fontId="4" fillId="84" borderId="36" applyNumberFormat="0" applyProtection="0">
      <alignment horizontal="left" vertical="center" indent="1"/>
    </xf>
    <xf numFmtId="4" fontId="43" fillId="56" borderId="36" applyNumberFormat="0" applyProtection="0">
      <alignment horizontal="right" vertical="center"/>
    </xf>
    <xf numFmtId="4" fontId="43" fillId="5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4" fontId="43" fillId="88" borderId="22" applyNumberFormat="0" applyProtection="0">
      <alignment horizontal="right" vertical="center"/>
    </xf>
    <xf numFmtId="4" fontId="43" fillId="0" borderId="22" applyNumberFormat="0" applyProtection="0">
      <alignment horizontal="left" vertical="center" indent="1"/>
    </xf>
    <xf numFmtId="4" fontId="43" fillId="0" borderId="22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3" fillId="108" borderId="100" applyNumberFormat="0" applyFont="0" applyAlignment="0" applyProtection="0"/>
    <xf numFmtId="4" fontId="43" fillId="90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63" borderId="36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39" fillId="82" borderId="22" applyNumberFormat="0" applyProtection="0">
      <alignment vertical="center"/>
    </xf>
    <xf numFmtId="4" fontId="43" fillId="54" borderId="36" applyNumberFormat="0" applyProtection="0">
      <alignment vertical="center"/>
    </xf>
    <xf numFmtId="4" fontId="85" fillId="54" borderId="36" applyNumberFormat="0" applyProtection="0">
      <alignment vertical="center"/>
    </xf>
    <xf numFmtId="4" fontId="43" fillId="88" borderId="22" applyNumberFormat="0" applyProtection="0">
      <alignment horizontal="right" vertical="center"/>
    </xf>
    <xf numFmtId="4" fontId="43" fillId="56" borderId="36" applyNumberFormat="0" applyProtection="0">
      <alignment horizontal="right" vertical="center"/>
    </xf>
    <xf numFmtId="4" fontId="39" fillId="54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4" fontId="43" fillId="54" borderId="36" applyNumberFormat="0" applyProtection="0">
      <alignment vertical="center"/>
    </xf>
    <xf numFmtId="0" fontId="88" fillId="102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4" fontId="43" fillId="64" borderId="36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37" fillId="54" borderId="22" applyNumberFormat="0" applyProtection="0">
      <alignment vertical="center"/>
    </xf>
    <xf numFmtId="0" fontId="25" fillId="107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37" fillId="54" borderId="22" applyNumberFormat="0" applyProtection="0">
      <alignment vertical="center"/>
    </xf>
    <xf numFmtId="4" fontId="38" fillId="54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88" fillId="102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36" fillId="66" borderId="22" applyNumberFormat="0" applyProtection="0">
      <alignment horizontal="left" vertical="center" indent="1"/>
    </xf>
    <xf numFmtId="4" fontId="44" fillId="69" borderId="22" applyNumberFormat="0" applyProtection="0">
      <alignment horizontal="right" vertical="center"/>
    </xf>
    <xf numFmtId="4" fontId="85" fillId="100" borderId="36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0" borderId="22" applyNumberFormat="0" applyProtection="0">
      <alignment horizontal="right" vertical="center"/>
    </xf>
    <xf numFmtId="4" fontId="43" fillId="0" borderId="22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38" fillId="69" borderId="22" applyNumberFormat="0" applyProtection="0">
      <alignment horizontal="right" vertical="center"/>
    </xf>
    <xf numFmtId="4" fontId="43" fillId="72" borderId="36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88" fillId="108" borderId="22" applyNumberFormat="0" applyProtection="0">
      <alignment horizontal="left" vertical="top" indent="1"/>
    </xf>
    <xf numFmtId="4" fontId="43" fillId="72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88" fillId="104" borderId="22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85" fillId="72" borderId="36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36" applyNumberFormat="0" applyProtection="0">
      <alignment vertical="center"/>
    </xf>
    <xf numFmtId="4" fontId="43" fillId="72" borderId="22" applyNumberFormat="0" applyProtection="0">
      <alignment vertical="center"/>
    </xf>
    <xf numFmtId="4" fontId="88" fillId="108" borderId="22" applyNumberFormat="0" applyProtection="0">
      <alignment vertical="center"/>
    </xf>
    <xf numFmtId="4" fontId="43" fillId="72" borderId="36" applyNumberFormat="0" applyProtection="0">
      <alignment vertical="center"/>
    </xf>
    <xf numFmtId="4" fontId="43" fillId="72" borderId="36" applyNumberFormat="0" applyProtection="0">
      <alignment vertical="center"/>
    </xf>
    <xf numFmtId="4" fontId="38" fillId="62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4" fontId="43" fillId="103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15" fillId="71" borderId="26" applyBorder="0"/>
    <xf numFmtId="4" fontId="38" fillId="69" borderId="22" applyNumberFormat="0" applyProtection="0">
      <alignment vertical="center"/>
    </xf>
    <xf numFmtId="4" fontId="43" fillId="100" borderId="36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38" fillId="66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4" fontId="43" fillId="100" borderId="97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9" fillId="99" borderId="36" applyNumberFormat="0" applyProtection="0">
      <alignment horizontal="left" vertical="center" indent="1"/>
    </xf>
    <xf numFmtId="4" fontId="38" fillId="62" borderId="22" applyNumberFormat="0" applyProtection="0">
      <alignment horizontal="right" vertical="center"/>
    </xf>
    <xf numFmtId="4" fontId="43" fillId="97" borderId="36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7" borderId="36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63" borderId="36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64" borderId="36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64" borderId="36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56" borderId="36" applyNumberFormat="0" applyProtection="0">
      <alignment horizontal="right" vertical="center"/>
    </xf>
    <xf numFmtId="4" fontId="43" fillId="58" borderId="36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58" borderId="36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0" fontId="87" fillId="82" borderId="22" applyNumberFormat="0" applyProtection="0">
      <alignment horizontal="left" vertical="top" indent="1"/>
    </xf>
    <xf numFmtId="4" fontId="43" fillId="54" borderId="36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37" fillId="54" borderId="22" applyNumberFormat="0" applyProtection="0">
      <alignment vertical="center"/>
    </xf>
    <xf numFmtId="4" fontId="85" fillId="54" borderId="36" applyNumberFormat="0" applyProtection="0">
      <alignment vertical="center"/>
    </xf>
    <xf numFmtId="4" fontId="43" fillId="54" borderId="36" applyNumberFormat="0" applyProtection="0">
      <alignment vertical="center"/>
    </xf>
    <xf numFmtId="4" fontId="36" fillId="54" borderId="22" applyNumberFormat="0" applyProtection="0">
      <alignment vertical="center"/>
    </xf>
    <xf numFmtId="4" fontId="43" fillId="0" borderId="22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81" fillId="79" borderId="36" applyNumberFormat="0" applyAlignment="0" applyProtection="0"/>
    <xf numFmtId="0" fontId="81" fillId="79" borderId="36" applyNumberFormat="0" applyAlignment="0" applyProtection="0"/>
    <xf numFmtId="4" fontId="38" fillId="64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37" fillId="54" borderId="22" applyNumberFormat="0" applyProtection="0">
      <alignment vertical="center"/>
    </xf>
    <xf numFmtId="4" fontId="36" fillId="54" borderId="22" applyNumberFormat="0" applyProtection="0">
      <alignment vertical="center"/>
    </xf>
    <xf numFmtId="4" fontId="43" fillId="102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" fillId="106" borderId="36" applyNumberFormat="0" applyProtection="0">
      <alignment horizontal="left" vertical="center" indent="1"/>
    </xf>
    <xf numFmtId="0" fontId="81" fillId="79" borderId="36" applyNumberFormat="0" applyAlignment="0" applyProtection="0"/>
    <xf numFmtId="4" fontId="39" fillId="82" borderId="22" applyNumberFormat="0" applyProtection="0">
      <alignment vertical="center"/>
    </xf>
    <xf numFmtId="4" fontId="38" fillId="54" borderId="22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38" fillId="56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4" fontId="38" fillId="59" borderId="22" applyNumberFormat="0" applyProtection="0">
      <alignment horizontal="right"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9" fillId="54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36" fillId="54" borderId="22" applyNumberFormat="0" applyProtection="0">
      <alignment vertical="center"/>
    </xf>
    <xf numFmtId="4" fontId="38" fillId="54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91" fillId="100" borderId="36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58" borderId="36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3" fillId="61" borderId="36" applyNumberFormat="0" applyProtection="0">
      <alignment horizontal="right" vertical="center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0" borderId="22" applyNumberFormat="0" applyProtection="0">
      <alignment horizontal="right" vertical="center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4" fontId="43" fillId="0" borderId="36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49" fontId="95" fillId="110" borderId="92"/>
    <xf numFmtId="0" fontId="4" fillId="0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94" borderId="22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0" fontId="25" fillId="102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0" fontId="130" fillId="0" borderId="93" applyFill="0" applyBorder="0" applyProtection="0">
      <alignment horizontal="left" vertical="top"/>
    </xf>
    <xf numFmtId="0" fontId="4" fillId="4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15" fillId="71" borderId="26" applyBorder="0"/>
    <xf numFmtId="0" fontId="4" fillId="0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4" fontId="43" fillId="100" borderId="97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4" fontId="43" fillId="72" borderId="36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88" fillId="108" borderId="22" applyNumberFormat="0" applyProtection="0">
      <alignment vertical="center"/>
    </xf>
    <xf numFmtId="4" fontId="91" fillId="101" borderId="22" applyNumberFormat="0" applyProtection="0">
      <alignment horizontal="right" vertical="center"/>
    </xf>
    <xf numFmtId="4" fontId="38" fillId="69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43" fillId="89" borderId="22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43" fillId="85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0" borderId="22" applyNumberFormat="0" applyProtection="0">
      <alignment horizontal="right" vertical="center"/>
    </xf>
    <xf numFmtId="4" fontId="38" fillId="69" borderId="22" applyNumberFormat="0" applyProtection="0">
      <alignment vertical="center"/>
    </xf>
    <xf numFmtId="0" fontId="4" fillId="8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9" fillId="69" borderId="22" applyNumberFormat="0" applyProtection="0">
      <alignment horizontal="right" vertical="center"/>
    </xf>
    <xf numFmtId="4" fontId="48" fillId="68" borderId="27" applyNumberFormat="0" applyProtection="0">
      <alignment horizontal="left" vertical="center" indent="1"/>
    </xf>
    <xf numFmtId="4" fontId="38" fillId="58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36" fillId="66" borderId="22" applyNumberFormat="0" applyProtection="0">
      <alignment horizontal="left" vertical="center" indent="1"/>
    </xf>
    <xf numFmtId="4" fontId="44" fillId="69" borderId="22" applyNumberFormat="0" applyProtection="0">
      <alignment horizontal="right" vertical="center"/>
    </xf>
    <xf numFmtId="4" fontId="38" fillId="69" borderId="22" applyNumberFormat="0" applyProtection="0">
      <alignment horizontal="right" vertical="center"/>
    </xf>
    <xf numFmtId="4" fontId="36" fillId="66" borderId="27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38" fillId="69" borderId="22" applyNumberFormat="0" applyProtection="0">
      <alignment vertical="center"/>
    </xf>
    <xf numFmtId="0" fontId="15" fillId="71" borderId="26" applyBorder="0"/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38" fillId="69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85" fillId="72" borderId="22" applyNumberFormat="0" applyProtection="0">
      <alignment vertical="center"/>
    </xf>
    <xf numFmtId="4" fontId="38" fillId="62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0" fontId="25" fillId="102" borderId="22" applyNumberFormat="0" applyProtection="0">
      <alignment horizontal="left" vertical="top" indent="1"/>
    </xf>
    <xf numFmtId="4" fontId="38" fillId="59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8" fillId="54" borderId="22" applyNumberFormat="0" applyProtection="0">
      <alignment horizontal="left" vertical="center" indent="1"/>
    </xf>
    <xf numFmtId="4" fontId="36" fillId="54" borderId="22" applyNumberFormat="0" applyProtection="0">
      <alignment vertical="center"/>
    </xf>
    <xf numFmtId="4" fontId="43" fillId="97" borderId="36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4" fillId="0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88" borderId="22" applyNumberFormat="0" applyProtection="0">
      <alignment horizontal="right" vertical="center"/>
    </xf>
    <xf numFmtId="0" fontId="4" fillId="106" borderId="36" applyNumberFormat="0" applyProtection="0">
      <alignment horizontal="left" vertical="center" indent="1"/>
    </xf>
    <xf numFmtId="4" fontId="43" fillId="92" borderId="22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0" fontId="25" fillId="101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36" fillId="66" borderId="22" applyNumberFormat="0" applyProtection="0">
      <alignment horizontal="left" vertical="center" indent="1"/>
    </xf>
    <xf numFmtId="4" fontId="38" fillId="66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72" borderId="36" applyNumberFormat="0" applyProtection="0">
      <alignment vertical="center"/>
    </xf>
    <xf numFmtId="4" fontId="43" fillId="100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54" borderId="36" applyNumberFormat="0" applyProtection="0">
      <alignment vertical="center"/>
    </xf>
    <xf numFmtId="0" fontId="25" fillId="48" borderId="95" applyNumberFormat="0" applyFont="0" applyAlignment="0" applyProtection="0"/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54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4" fontId="25" fillId="0" borderId="95" applyNumberFormat="0" applyProtection="0">
      <alignment horizontal="right" vertical="center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38" fillId="54" borderId="22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0" fontId="124" fillId="104" borderId="99" applyNumberFormat="0" applyAlignment="0" applyProtection="0"/>
    <xf numFmtId="0" fontId="124" fillId="104" borderId="99" applyNumberFormat="0" applyAlignment="0" applyProtection="0"/>
    <xf numFmtId="0" fontId="138" fillId="116" borderId="99" applyNumberFormat="0" applyAlignment="0" applyProtection="0"/>
    <xf numFmtId="0" fontId="138" fillId="116" borderId="99" applyNumberFormat="0" applyAlignment="0" applyProtection="0"/>
    <xf numFmtId="0" fontId="43" fillId="108" borderId="100" applyNumberFormat="0" applyFont="0" applyAlignment="0" applyProtection="0"/>
    <xf numFmtId="0" fontId="43" fillId="108" borderId="100" applyNumberFormat="0" applyFont="0" applyAlignment="0" applyProtection="0"/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0" fontId="43" fillId="108" borderId="100" applyNumberFormat="0" applyFont="0" applyAlignment="0" applyProtection="0"/>
    <xf numFmtId="0" fontId="43" fillId="108" borderId="100" applyNumberFormat="0" applyFont="0" applyAlignment="0" applyProtection="0"/>
    <xf numFmtId="0" fontId="138" fillId="116" borderId="99" applyNumberFormat="0" applyAlignment="0" applyProtection="0"/>
    <xf numFmtId="0" fontId="138" fillId="116" borderId="99" applyNumberFormat="0" applyAlignment="0" applyProtection="0"/>
    <xf numFmtId="0" fontId="124" fillId="104" borderId="99" applyNumberFormat="0" applyAlignment="0" applyProtection="0"/>
    <xf numFmtId="0" fontId="124" fillId="104" borderId="99" applyNumberFormat="0" applyAlignment="0" applyProtection="0"/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4" fontId="48" fillId="68" borderId="27" applyNumberFormat="0" applyProtection="0">
      <alignment horizontal="left" vertical="center" indent="1"/>
    </xf>
    <xf numFmtId="4" fontId="91" fillId="100" borderId="36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9" fontId="95" fillId="110" borderId="92"/>
    <xf numFmtId="0" fontId="4" fillId="69" borderId="22" applyNumberFormat="0" applyProtection="0">
      <alignment horizontal="left" vertical="center" indent="1"/>
    </xf>
    <xf numFmtId="0" fontId="93" fillId="67" borderId="92">
      <protection locked="0"/>
    </xf>
    <xf numFmtId="0" fontId="25" fillId="102" borderId="22" applyNumberFormat="0" applyProtection="0">
      <alignment horizontal="left" vertical="top" indent="1"/>
    </xf>
    <xf numFmtId="4" fontId="38" fillId="69" borderId="22" applyNumberFormat="0" applyProtection="0">
      <alignment vertical="center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4" fontId="116" fillId="54" borderId="22" applyNumberFormat="0" applyProtection="0">
      <alignment vertical="center"/>
    </xf>
    <xf numFmtId="0" fontId="4" fillId="4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4" fontId="43" fillId="103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87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4" fontId="38" fillId="63" borderId="22" applyNumberFormat="0" applyProtection="0">
      <alignment horizontal="right" vertical="center"/>
    </xf>
    <xf numFmtId="0" fontId="4" fillId="0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0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4" fontId="85" fillId="54" borderId="36" applyNumberFormat="0" applyProtection="0">
      <alignment vertical="center"/>
    </xf>
    <xf numFmtId="0" fontId="25" fillId="101" borderId="22" applyNumberFormat="0" applyProtection="0">
      <alignment horizontal="left" vertical="top" indent="1"/>
    </xf>
    <xf numFmtId="0" fontId="93" fillId="67" borderId="92">
      <protection locked="0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8" fillId="68" borderId="27" applyNumberFormat="0" applyProtection="0">
      <alignment horizontal="left" vertical="center" indent="1"/>
    </xf>
    <xf numFmtId="4" fontId="43" fillId="0" borderId="36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72" borderId="36" applyNumberFormat="0" applyProtection="0">
      <alignment horizontal="left" vertical="center" indent="1"/>
    </xf>
    <xf numFmtId="0" fontId="88" fillId="108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72" borderId="36" applyNumberFormat="0" applyProtection="0">
      <alignment vertical="center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4" fontId="43" fillId="100" borderId="36" applyNumberFormat="0" applyProtection="0">
      <alignment horizontal="left" vertical="center" indent="1"/>
    </xf>
    <xf numFmtId="4" fontId="43" fillId="63" borderId="36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4" fontId="43" fillId="56" borderId="36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64" borderId="36" applyNumberFormat="0" applyProtection="0">
      <alignment horizontal="right" vertical="center"/>
    </xf>
    <xf numFmtId="0" fontId="25" fillId="101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4" fontId="43" fillId="85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88" fillId="108" borderId="22" applyNumberFormat="0" applyProtection="0">
      <alignment horizontal="left" vertical="top" indent="1"/>
    </xf>
    <xf numFmtId="4" fontId="43" fillId="72" borderId="36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38" fillId="61" borderId="22" applyNumberFormat="0" applyProtection="0">
      <alignment horizontal="right" vertical="center"/>
    </xf>
    <xf numFmtId="4" fontId="39" fillId="82" borderId="22" applyNumberFormat="0" applyProtection="0">
      <alignment vertical="center"/>
    </xf>
    <xf numFmtId="0" fontId="25" fillId="71" borderId="22" applyNumberFormat="0" applyProtection="0">
      <alignment horizontal="left" vertical="top" indent="1"/>
    </xf>
    <xf numFmtId="4" fontId="43" fillId="100" borderId="36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94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4" fontId="43" fillId="72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9" fontId="95" fillId="110" borderId="92"/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8" fillId="57" borderId="22" applyNumberFormat="0" applyProtection="0">
      <alignment horizontal="right" vertical="center"/>
    </xf>
    <xf numFmtId="4" fontId="36" fillId="54" borderId="22" applyNumberFormat="0" applyProtection="0">
      <alignment vertical="center"/>
    </xf>
    <xf numFmtId="0" fontId="4" fillId="106" borderId="36" applyNumberFormat="0" applyProtection="0">
      <alignment horizontal="left" vertical="center" indent="1"/>
    </xf>
    <xf numFmtId="4" fontId="85" fillId="54" borderId="36" applyNumberFormat="0" applyProtection="0">
      <alignment vertical="center"/>
    </xf>
    <xf numFmtId="4" fontId="36" fillId="66" borderId="27" applyNumberFormat="0" applyProtection="0">
      <alignment horizontal="left" vertical="center" indent="1"/>
    </xf>
    <xf numFmtId="4" fontId="44" fillId="69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" fillId="68" borderId="22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4" fontId="88" fillId="108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0" fontId="93" fillId="67" borderId="92">
      <protection locked="0"/>
    </xf>
    <xf numFmtId="0" fontId="4" fillId="84" borderId="36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88" fillId="102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44" fillId="69" borderId="22" applyNumberFormat="0" applyProtection="0">
      <alignment horizontal="right" vertical="center"/>
    </xf>
    <xf numFmtId="4" fontId="85" fillId="100" borderId="36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0" borderId="22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38" fillId="69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4" fontId="43" fillId="72" borderId="36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85" fillId="72" borderId="36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36" applyNumberFormat="0" applyProtection="0">
      <alignment vertical="center"/>
    </xf>
    <xf numFmtId="4" fontId="43" fillId="72" borderId="22" applyNumberFormat="0" applyProtection="0">
      <alignment vertical="center"/>
    </xf>
    <xf numFmtId="4" fontId="88" fillId="108" borderId="22" applyNumberFormat="0" applyProtection="0">
      <alignment vertical="center"/>
    </xf>
    <xf numFmtId="4" fontId="43" fillId="72" borderId="36" applyNumberFormat="0" applyProtection="0">
      <alignment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4" fontId="43" fillId="88" borderId="22" applyNumberFormat="0" applyProtection="0">
      <alignment horizontal="right" vertical="center"/>
    </xf>
    <xf numFmtId="4" fontId="43" fillId="56" borderId="36" applyNumberFormat="0" applyProtection="0">
      <alignment horizontal="right" vertical="center"/>
    </xf>
    <xf numFmtId="4" fontId="43" fillId="58" borderId="36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87" fillId="82" borderId="22" applyNumberFormat="0" applyProtection="0">
      <alignment horizontal="left" vertical="top" indent="1"/>
    </xf>
    <xf numFmtId="4" fontId="43" fillId="5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38" fillId="57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43" fillId="90" borderId="22" applyNumberFormat="0" applyProtection="0">
      <alignment horizontal="right" vertical="center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43" fillId="57" borderId="36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4" fontId="116" fillId="54" borderId="22" applyNumberFormat="0" applyProtection="0">
      <alignment vertical="center"/>
    </xf>
    <xf numFmtId="4" fontId="38" fillId="56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37" fillId="54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43" fillId="85" borderId="22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4" fontId="3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0" fontId="138" fillId="116" borderId="99" applyNumberFormat="0" applyAlignment="0" applyProtection="0"/>
    <xf numFmtId="0" fontId="138" fillId="116" borderId="99" applyNumberFormat="0" applyAlignment="0" applyProtection="0"/>
    <xf numFmtId="0" fontId="39" fillId="54" borderId="22" applyNumberFormat="0" applyProtection="0">
      <alignment horizontal="left" vertical="top" indent="1"/>
    </xf>
    <xf numFmtId="4" fontId="43" fillId="88" borderId="22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4" fontId="43" fillId="87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4" fontId="38" fillId="69" borderId="22" applyNumberFormat="0" applyProtection="0">
      <alignment vertical="center"/>
    </xf>
    <xf numFmtId="4" fontId="43" fillId="102" borderId="22" applyNumberFormat="0" applyProtection="0">
      <alignment horizontal="left" vertical="center" indent="1"/>
    </xf>
    <xf numFmtId="4" fontId="43" fillId="72" borderId="36" applyNumberFormat="0" applyProtection="0">
      <alignment vertical="center"/>
    </xf>
    <xf numFmtId="4" fontId="85" fillId="72" borderId="36" applyNumberFormat="0" applyProtection="0">
      <alignment vertical="center"/>
    </xf>
    <xf numFmtId="4" fontId="43" fillId="72" borderId="36" applyNumberFormat="0" applyProtection="0">
      <alignment horizontal="left" vertical="center" indent="1"/>
    </xf>
    <xf numFmtId="4" fontId="43" fillId="0" borderId="22" applyNumberFormat="0" applyProtection="0">
      <alignment horizontal="left" vertical="center" indent="1"/>
    </xf>
    <xf numFmtId="4" fontId="43" fillId="0" borderId="22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4" fontId="49" fillId="69" borderId="22" applyNumberFormat="0" applyProtection="0">
      <alignment horizontal="right" vertical="center"/>
    </xf>
    <xf numFmtId="4" fontId="48" fillId="68" borderId="27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36" fillId="66" borderId="22" applyNumberFormat="0" applyProtection="0">
      <alignment horizontal="left" vertical="center" indent="1"/>
    </xf>
    <xf numFmtId="4" fontId="44" fillId="69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4" fontId="38" fillId="6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38" fillId="57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36" fillId="54" borderId="22" applyNumberFormat="0" applyProtection="0">
      <alignment vertical="center"/>
    </xf>
    <xf numFmtId="0" fontId="4" fillId="4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0" fontId="4" fillId="106" borderId="36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0" fontId="4" fillId="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4" fontId="43" fillId="63" borderId="36" applyNumberFormat="0" applyProtection="0">
      <alignment horizontal="right" vertical="center"/>
    </xf>
    <xf numFmtId="0" fontId="25" fillId="102" borderId="22" applyNumberFormat="0" applyProtection="0">
      <alignment horizontal="left" vertical="top" indent="1"/>
    </xf>
    <xf numFmtId="4" fontId="38" fillId="69" borderId="22" applyNumberFormat="0" applyProtection="0">
      <alignment vertical="center"/>
    </xf>
    <xf numFmtId="0" fontId="25" fillId="102" borderId="22" applyNumberFormat="0" applyProtection="0">
      <alignment horizontal="left" vertical="top" indent="1"/>
    </xf>
    <xf numFmtId="4" fontId="36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124" fillId="104" borderId="99" applyNumberFormat="0" applyAlignment="0" applyProtection="0"/>
    <xf numFmtId="4" fontId="43" fillId="101" borderId="22" applyNumberFormat="0" applyProtection="0">
      <alignment horizontal="right" vertical="center"/>
    </xf>
    <xf numFmtId="4" fontId="39" fillId="54" borderId="22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116" fillId="54" borderId="22" applyNumberFormat="0" applyProtection="0">
      <alignment vertical="center"/>
    </xf>
    <xf numFmtId="0" fontId="4" fillId="84" borderId="36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8" fillId="66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4" fontId="43" fillId="102" borderId="22" applyNumberFormat="0" applyProtection="0">
      <alignment horizontal="right" vertical="center"/>
    </xf>
    <xf numFmtId="0" fontId="25" fillId="102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54" borderId="36" applyNumberFormat="0" applyProtection="0">
      <alignment vertical="center"/>
    </xf>
    <xf numFmtId="0" fontId="4" fillId="69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102" borderId="22" applyNumberFormat="0" applyProtection="0">
      <alignment horizontal="right" vertical="center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0" fontId="39" fillId="54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4" fontId="43" fillId="100" borderId="97" applyNumberFormat="0" applyProtection="0">
      <alignment horizontal="left" vertical="center" indent="1"/>
    </xf>
    <xf numFmtId="4" fontId="38" fillId="62" borderId="22" applyNumberFormat="0" applyProtection="0">
      <alignment horizontal="right" vertical="center"/>
    </xf>
    <xf numFmtId="4" fontId="116" fillId="54" borderId="22" applyNumberFormat="0" applyProtection="0">
      <alignment vertical="center"/>
    </xf>
    <xf numFmtId="4" fontId="43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4" fontId="91" fillId="100" borderId="36" applyNumberFormat="0" applyProtection="0">
      <alignment horizontal="right" vertical="center"/>
    </xf>
    <xf numFmtId="4" fontId="39" fillId="99" borderId="36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4" fontId="49" fillId="69" borderId="22" applyNumberFormat="0" applyProtection="0">
      <alignment horizontal="right" vertical="center"/>
    </xf>
    <xf numFmtId="4" fontId="43" fillId="103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4" fontId="49" fillId="69" borderId="22" applyNumberFormat="0" applyProtection="0">
      <alignment horizontal="right" vertical="center"/>
    </xf>
    <xf numFmtId="4" fontId="43" fillId="97" borderId="36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7" borderId="36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4" fontId="48" fillId="68" borderId="27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36" fillId="66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0" fontId="4" fillId="55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" fillId="55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9" fontId="95" fillId="110" borderId="92"/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0" borderId="22" applyNumberFormat="0" applyProtection="0">
      <alignment horizontal="right" vertical="center"/>
    </xf>
    <xf numFmtId="0" fontId="4" fillId="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4" fontId="43" fillId="72" borderId="36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4" fontId="85" fillId="72" borderId="22" applyNumberFormat="0" applyProtection="0">
      <alignment vertical="center"/>
    </xf>
    <xf numFmtId="4" fontId="38" fillId="54" borderId="22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39" fillId="82" borderId="22" applyNumberFormat="0" applyProtection="0">
      <alignment vertical="center"/>
    </xf>
    <xf numFmtId="4" fontId="116" fillId="54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0" fontId="4" fillId="69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4" fontId="43" fillId="72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43" fillId="85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4" fontId="85" fillId="72" borderId="22" applyNumberFormat="0" applyProtection="0">
      <alignment vertical="center"/>
    </xf>
    <xf numFmtId="4" fontId="39" fillId="99" borderId="36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94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8" fillId="64" borderId="22" applyNumberFormat="0" applyProtection="0">
      <alignment horizontal="right" vertical="center"/>
    </xf>
    <xf numFmtId="4" fontId="37" fillId="54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100" borderId="97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38" fillId="54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94" borderId="22" applyNumberFormat="0" applyProtection="0">
      <alignment horizontal="right" vertical="center"/>
    </xf>
    <xf numFmtId="0" fontId="25" fillId="102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90" borderId="22" applyNumberFormat="0" applyProtection="0">
      <alignment horizontal="right" vertical="center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43" fillId="0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88" borderId="22" applyNumberFormat="0" applyProtection="0">
      <alignment horizontal="right"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138" fillId="116" borderId="99" applyNumberFormat="0" applyAlignment="0" applyProtection="0"/>
    <xf numFmtId="4" fontId="43" fillId="93" borderId="36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7" fillId="54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0" fontId="123" fillId="0" borderId="48" applyFill="0" applyProtection="0">
      <alignment horizontal="right"/>
    </xf>
    <xf numFmtId="0" fontId="124" fillId="104" borderId="99" applyNumberFormat="0" applyAlignment="0" applyProtection="0"/>
    <xf numFmtId="0" fontId="124" fillId="104" borderId="99" applyNumberFormat="0" applyAlignment="0" applyProtection="0"/>
    <xf numFmtId="0" fontId="4" fillId="0" borderId="36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0" fontId="43" fillId="68" borderId="22" applyNumberFormat="0" applyProtection="0">
      <alignment horizontal="left" vertical="top" indent="1"/>
    </xf>
    <xf numFmtId="49" fontId="95" fillId="110" borderId="92"/>
    <xf numFmtId="4" fontId="43" fillId="0" borderId="22" applyNumberFormat="0" applyProtection="0">
      <alignment horizontal="left" vertical="center" indent="1"/>
    </xf>
    <xf numFmtId="4" fontId="43" fillId="0" borderId="22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43" fillId="0" borderId="22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72" borderId="36" applyNumberFormat="0" applyProtection="0">
      <alignment horizontal="left" vertical="center" indent="1"/>
    </xf>
    <xf numFmtId="0" fontId="88" fillId="108" borderId="22" applyNumberFormat="0" applyProtection="0">
      <alignment horizontal="left" vertical="top" indent="1"/>
    </xf>
    <xf numFmtId="4" fontId="43" fillId="72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88" fillId="104" borderId="22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0" fontId="4" fillId="66" borderId="22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4" fontId="43" fillId="100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4" fontId="38" fillId="59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64" borderId="36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64" borderId="36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138" fillId="116" borderId="99" applyNumberFormat="0" applyAlignment="0" applyProtection="0"/>
    <xf numFmtId="0" fontId="138" fillId="116" borderId="99" applyNumberFormat="0" applyAlignment="0" applyProtection="0"/>
    <xf numFmtId="4" fontId="43" fillId="54" borderId="36" applyNumberFormat="0" applyProtection="0">
      <alignment horizontal="left" vertical="center" indent="1"/>
    </xf>
    <xf numFmtId="200" fontId="127" fillId="0" borderId="94">
      <alignment horizontal="right"/>
    </xf>
    <xf numFmtId="4" fontId="43" fillId="54" borderId="36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37" fillId="54" borderId="22" applyNumberFormat="0" applyProtection="0">
      <alignment vertical="center"/>
    </xf>
    <xf numFmtId="4" fontId="43" fillId="54" borderId="36" applyNumberFormat="0" applyProtection="0">
      <alignment vertical="center"/>
    </xf>
    <xf numFmtId="4" fontId="3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72" borderId="36" applyNumberFormat="0" applyProtection="0">
      <alignment vertical="center"/>
    </xf>
    <xf numFmtId="4" fontId="43" fillId="102" borderId="22" applyNumberFormat="0" applyProtection="0">
      <alignment horizontal="left" vertical="center" indent="1"/>
    </xf>
    <xf numFmtId="4" fontId="44" fillId="69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38" fillId="6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38" fillId="66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8" fillId="66" borderId="22" applyNumberFormat="0" applyProtection="0">
      <alignment horizontal="right" vertical="center"/>
    </xf>
    <xf numFmtId="4" fontId="39" fillId="54" borderId="22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38" fillId="62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3" fillId="108" borderId="100" applyNumberFormat="0" applyFont="0" applyAlignment="0" applyProtection="0"/>
    <xf numFmtId="0" fontId="43" fillId="108" borderId="100" applyNumberFormat="0" applyFont="0" applyAlignment="0" applyProtection="0"/>
    <xf numFmtId="0" fontId="143" fillId="104" borderId="36" applyNumberFormat="0" applyAlignment="0" applyProtection="0"/>
    <xf numFmtId="0" fontId="143" fillId="104" borderId="36" applyNumberFormat="0" applyAlignment="0" applyProtection="0"/>
    <xf numFmtId="0" fontId="4" fillId="68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49" fillId="69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4" fontId="43" fillId="56" borderId="36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3" fontId="127" fillId="0" borderId="45"/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4" fillId="69" borderId="22" applyNumberFormat="0" applyProtection="0">
      <alignment vertical="center"/>
    </xf>
    <xf numFmtId="0" fontId="4" fillId="69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90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85" fillId="72" borderId="22" applyNumberFormat="0" applyProtection="0">
      <alignment vertical="center"/>
    </xf>
    <xf numFmtId="0" fontId="4" fillId="66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96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39" fillId="0" borderId="101" applyNumberFormat="0" applyFill="0" applyAlignment="0" applyProtection="0"/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9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130" fillId="0" borderId="93" applyFill="0" applyBorder="0" applyProtection="0">
      <alignment horizontal="left" vertical="top"/>
    </xf>
    <xf numFmtId="0" fontId="4" fillId="68" borderId="22" applyNumberFormat="0" applyProtection="0">
      <alignment horizontal="left" vertical="top" indent="1"/>
    </xf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3" fontId="127" fillId="0" borderId="45"/>
    <xf numFmtId="0" fontId="4" fillId="68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0" fontId="4" fillId="0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4" fontId="43" fillId="90" borderId="22" applyNumberFormat="0" applyProtection="0">
      <alignment horizontal="right" vertical="center"/>
    </xf>
    <xf numFmtId="0" fontId="4" fillId="4" borderId="36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91" fillId="101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81" fillId="79" borderId="36" applyNumberFormat="0" applyAlignment="0" applyProtection="0"/>
    <xf numFmtId="4" fontId="49" fillId="69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4" fontId="38" fillId="59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58" borderId="36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143" fillId="104" borderId="36" applyNumberFormat="0" applyAlignment="0" applyProtection="0"/>
    <xf numFmtId="0" fontId="143" fillId="104" borderId="36" applyNumberFormat="0" applyAlignment="0" applyProtection="0"/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43" fillId="95" borderId="22" applyNumberFormat="0" applyProtection="0">
      <alignment horizontal="right" vertical="center"/>
    </xf>
    <xf numFmtId="4" fontId="39" fillId="54" borderId="22" applyNumberFormat="0" applyProtection="0">
      <alignment horizontal="left" vertical="center" indent="1"/>
    </xf>
    <xf numFmtId="0" fontId="43" fillId="108" borderId="100" applyNumberFormat="0" applyFont="0" applyAlignment="0" applyProtection="0"/>
    <xf numFmtId="0" fontId="43" fillId="108" borderId="100" applyNumberFormat="0" applyFont="0" applyAlignment="0" applyProtection="0"/>
    <xf numFmtId="0" fontId="138" fillId="116" borderId="99" applyNumberFormat="0" applyAlignment="0" applyProtection="0"/>
    <xf numFmtId="0" fontId="138" fillId="116" borderId="99" applyNumberFormat="0" applyAlignment="0" applyProtection="0"/>
    <xf numFmtId="0" fontId="4" fillId="68" borderId="22" applyNumberFormat="0" applyProtection="0">
      <alignment horizontal="left" vertical="top" indent="1"/>
    </xf>
    <xf numFmtId="4" fontId="43" fillId="63" borderId="36" applyNumberFormat="0" applyProtection="0">
      <alignment horizontal="right" vertical="center"/>
    </xf>
    <xf numFmtId="0" fontId="124" fillId="104" borderId="99" applyNumberFormat="0" applyAlignment="0" applyProtection="0"/>
    <xf numFmtId="0" fontId="124" fillId="104" borderId="99" applyNumberFormat="0" applyAlignment="0" applyProtection="0"/>
    <xf numFmtId="0" fontId="123" fillId="0" borderId="48" applyFill="0" applyProtection="0">
      <alignment horizontal="right"/>
    </xf>
    <xf numFmtId="4" fontId="49" fillId="69" borderId="22" applyNumberFormat="0" applyProtection="0">
      <alignment horizontal="right" vertical="center"/>
    </xf>
    <xf numFmtId="4" fontId="48" fillId="68" borderId="27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4" fillId="69" borderId="22" applyNumberFormat="0" applyProtection="0">
      <alignment horizontal="right" vertical="center"/>
    </xf>
    <xf numFmtId="4" fontId="38" fillId="69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4" fontId="36" fillId="66" borderId="27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38" fillId="69" borderId="22" applyNumberFormat="0" applyProtection="0">
      <alignment vertical="center"/>
    </xf>
    <xf numFmtId="0" fontId="15" fillId="71" borderId="26" applyBorder="0"/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38" fillId="62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8" fillId="54" borderId="22" applyNumberFormat="0" applyProtection="0">
      <alignment horizontal="left" vertical="center" indent="1"/>
    </xf>
    <xf numFmtId="4" fontId="37" fillId="54" borderId="22" applyNumberFormat="0" applyProtection="0">
      <alignment vertical="center"/>
    </xf>
    <xf numFmtId="4" fontId="36" fillId="54" borderId="22" applyNumberFormat="0" applyProtection="0">
      <alignment vertical="center"/>
    </xf>
    <xf numFmtId="0" fontId="4" fillId="68" borderId="22" applyNumberFormat="0" applyProtection="0">
      <alignment horizontal="left" vertical="top" indent="1"/>
    </xf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4" fontId="38" fillId="64" borderId="22" applyNumberFormat="0" applyProtection="0">
      <alignment horizontal="right" vertical="center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4" fontId="38" fillId="59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61" borderId="36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4" fontId="36" fillId="54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101" borderId="22" applyNumberFormat="0" applyProtection="0">
      <alignment horizontal="right" vertical="center"/>
    </xf>
    <xf numFmtId="4" fontId="43" fillId="72" borderId="22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93" fillId="67" borderId="92">
      <protection locked="0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200" fontId="127" fillId="0" borderId="94">
      <alignment horizontal="right"/>
    </xf>
    <xf numFmtId="0" fontId="43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38" fillId="58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85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0" fontId="39" fillId="0" borderId="101" applyNumberFormat="0" applyFill="0" applyAlignment="0" applyProtection="0"/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4" fontId="43" fillId="90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9" fontId="95" fillId="110" borderId="92"/>
    <xf numFmtId="0" fontId="4" fillId="68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38" fillId="69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4" fontId="43" fillId="87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91" fillId="100" borderId="36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4" fillId="69" borderId="22" applyNumberFormat="0" applyProtection="0">
      <alignment vertical="center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36" fillId="66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0" borderId="36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72" borderId="36" applyNumberFormat="0" applyProtection="0">
      <alignment vertical="center"/>
    </xf>
    <xf numFmtId="0" fontId="25" fillId="107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81" fillId="79" borderId="36" applyNumberFormat="0" applyAlignment="0" applyProtection="0"/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4" fontId="43" fillId="94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0" fontId="4" fillId="66" borderId="22" applyNumberFormat="0" applyProtection="0">
      <alignment horizontal="left" vertical="center" indent="1"/>
    </xf>
    <xf numFmtId="4" fontId="43" fillId="85" borderId="22" applyNumberFormat="0" applyProtection="0">
      <alignment horizontal="right" vertical="center"/>
    </xf>
    <xf numFmtId="0" fontId="4" fillId="0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4" fillId="69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9" fontId="95" fillId="110" borderId="92"/>
    <xf numFmtId="4" fontId="43" fillId="54" borderId="36" applyNumberFormat="0" applyProtection="0">
      <alignment vertical="center"/>
    </xf>
    <xf numFmtId="4" fontId="43" fillId="72" borderId="22" applyNumberFormat="0" applyProtection="0">
      <alignment vertical="center"/>
    </xf>
    <xf numFmtId="4" fontId="36" fillId="66" borderId="27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4" fontId="116" fillId="54" borderId="22" applyNumberFormat="0" applyProtection="0">
      <alignment vertical="center"/>
    </xf>
    <xf numFmtId="4" fontId="43" fillId="8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116" fillId="54" borderId="22" applyNumberFormat="0" applyProtection="0">
      <alignment vertical="center"/>
    </xf>
    <xf numFmtId="4" fontId="91" fillId="101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5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39" fillId="0" borderId="101" applyNumberFormat="0" applyFill="0" applyAlignment="0" applyProtection="0"/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85" borderId="22" applyNumberFormat="0" applyProtection="0">
      <alignment horizontal="right" vertical="center"/>
    </xf>
    <xf numFmtId="4" fontId="116" fillId="54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43" fillId="68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4" fontId="43" fillId="58" borderId="36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43" fillId="100" borderId="36" applyNumberFormat="0" applyProtection="0">
      <alignment horizontal="left" vertical="center" indent="1"/>
    </xf>
    <xf numFmtId="4" fontId="43" fillId="0" borderId="36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11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4" fontId="43" fillId="87" borderId="22" applyNumberFormat="0" applyProtection="0">
      <alignment horizontal="right" vertical="center"/>
    </xf>
    <xf numFmtId="0" fontId="143" fillId="104" borderId="36" applyNumberFormat="0" applyAlignment="0" applyProtection="0"/>
    <xf numFmtId="0" fontId="4" fillId="68" borderId="22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116" fillId="54" borderId="22" applyNumberFormat="0" applyProtection="0">
      <alignment vertical="center"/>
    </xf>
    <xf numFmtId="0" fontId="123" fillId="0" borderId="48" applyFill="0" applyProtection="0">
      <alignment horizontal="right"/>
    </xf>
    <xf numFmtId="0" fontId="124" fillId="104" borderId="99" applyNumberFormat="0" applyAlignment="0" applyProtection="0"/>
    <xf numFmtId="0" fontId="124" fillId="104" borderId="99" applyNumberFormat="0" applyAlignment="0" applyProtection="0"/>
    <xf numFmtId="4" fontId="116" fillId="54" borderId="22" applyNumberFormat="0" applyProtection="0">
      <alignment vertical="center"/>
    </xf>
    <xf numFmtId="0" fontId="4" fillId="68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25" fillId="102" borderId="22" applyNumberFormat="0" applyProtection="0">
      <alignment horizontal="left" vertical="top" indent="1"/>
    </xf>
    <xf numFmtId="4" fontId="36" fillId="66" borderId="22" applyNumberFormat="0" applyProtection="0">
      <alignment horizontal="left" vertical="center" indent="1"/>
    </xf>
    <xf numFmtId="4" fontId="43" fillId="87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101" borderId="22" applyNumberFormat="0" applyProtection="0">
      <alignment horizontal="right" vertical="center"/>
    </xf>
    <xf numFmtId="4" fontId="43" fillId="72" borderId="22" applyNumberFormat="0" applyProtection="0">
      <alignment vertical="center"/>
    </xf>
    <xf numFmtId="4" fontId="85" fillId="101" borderId="22" applyNumberFormat="0" applyProtection="0">
      <alignment horizontal="right" vertical="center"/>
    </xf>
    <xf numFmtId="4" fontId="43" fillId="72" borderId="22" applyNumberFormat="0" applyProtection="0">
      <alignment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43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0" fontId="124" fillId="104" borderId="99" applyNumberFormat="0" applyAlignment="0" applyProtection="0"/>
    <xf numFmtId="4" fontId="116" fillId="54" borderId="22" applyNumberFormat="0" applyProtection="0">
      <alignment vertical="center"/>
    </xf>
    <xf numFmtId="4" fontId="43" fillId="85" borderId="22" applyNumberFormat="0" applyProtection="0">
      <alignment horizontal="right" vertical="center"/>
    </xf>
    <xf numFmtId="4" fontId="116" fillId="54" borderId="22" applyNumberFormat="0" applyProtection="0">
      <alignment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3" fontId="127" fillId="0" borderId="45"/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0" fontId="138" fillId="116" borderId="99" applyNumberFormat="0" applyAlignment="0" applyProtection="0"/>
    <xf numFmtId="0" fontId="138" fillId="116" borderId="99" applyNumberFormat="0" applyAlignment="0" applyProtection="0"/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87" fillId="82" borderId="22" applyNumberFormat="0" applyProtection="0">
      <alignment horizontal="left" vertical="top" indent="1"/>
    </xf>
    <xf numFmtId="200" fontId="127" fillId="0" borderId="94">
      <alignment horizontal="right"/>
    </xf>
    <xf numFmtId="4" fontId="43" fillId="63" borderId="36" applyNumberFormat="0" applyProtection="0">
      <alignment horizontal="right" vertical="center"/>
    </xf>
    <xf numFmtId="0" fontId="25" fillId="107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4" fontId="48" fillId="68" borderId="27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4" fontId="38" fillId="69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4" fontId="43" fillId="63" borderId="36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4" fontId="85" fillId="72" borderId="36" applyNumberFormat="0" applyProtection="0">
      <alignment vertical="center"/>
    </xf>
    <xf numFmtId="0" fontId="43" fillId="108" borderId="100" applyNumberFormat="0" applyFont="0" applyAlignment="0" applyProtection="0"/>
    <xf numFmtId="0" fontId="43" fillId="108" borderId="100" applyNumberFormat="0" applyFont="0" applyAlignment="0" applyProtection="0"/>
    <xf numFmtId="0" fontId="143" fillId="104" borderId="36" applyNumberFormat="0" applyAlignment="0" applyProtection="0"/>
    <xf numFmtId="0" fontId="143" fillId="104" borderId="36" applyNumberFormat="0" applyAlignment="0" applyProtection="0"/>
    <xf numFmtId="0" fontId="4" fillId="55" borderId="22" applyNumberFormat="0" applyProtection="0">
      <alignment horizontal="left" vertical="center" indent="1"/>
    </xf>
    <xf numFmtId="4" fontId="38" fillId="56" borderId="22" applyNumberFormat="0" applyProtection="0">
      <alignment horizontal="right" vertical="center"/>
    </xf>
    <xf numFmtId="4" fontId="43" fillId="5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4" fontId="43" fillId="89" borderId="22" applyNumberFormat="0" applyProtection="0">
      <alignment horizontal="right" vertical="center"/>
    </xf>
    <xf numFmtId="4" fontId="43" fillId="54" borderId="36" applyNumberFormat="0" applyProtection="0">
      <alignment horizontal="left" vertical="center" indent="1"/>
    </xf>
    <xf numFmtId="4" fontId="38" fillId="56" borderId="22" applyNumberFormat="0" applyProtection="0">
      <alignment horizontal="right" vertical="center"/>
    </xf>
    <xf numFmtId="0" fontId="93" fillId="67" borderId="92">
      <protection locked="0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3" fontId="127" fillId="0" borderId="45"/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88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90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85" fillId="72" borderId="22" applyNumberFormat="0" applyProtection="0">
      <alignment vertical="center"/>
    </xf>
    <xf numFmtId="0" fontId="4" fillId="66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4" fontId="43" fillId="54" borderId="36" applyNumberFormat="0" applyProtection="0">
      <alignment vertical="center"/>
    </xf>
    <xf numFmtId="4" fontId="48" fillId="68" borderId="27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38" fillId="66" borderId="22" applyNumberFormat="0" applyProtection="0">
      <alignment horizontal="right" vertical="center"/>
    </xf>
    <xf numFmtId="4" fontId="88" fillId="108" borderId="22" applyNumberFormat="0" applyProtection="0">
      <alignment vertical="center"/>
    </xf>
    <xf numFmtId="0" fontId="130" fillId="0" borderId="93" applyFill="0" applyBorder="0" applyProtection="0">
      <alignment horizontal="left" vertical="top"/>
    </xf>
    <xf numFmtId="4" fontId="43" fillId="58" borderId="36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3" fontId="127" fillId="0" borderId="45"/>
    <xf numFmtId="0" fontId="4" fillId="4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38" fillId="64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3" fillId="7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116" fillId="54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89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143" fillId="104" borderId="36" applyNumberFormat="0" applyAlignment="0" applyProtection="0"/>
    <xf numFmtId="0" fontId="143" fillId="104" borderId="36" applyNumberFormat="0" applyAlignment="0" applyProtection="0"/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43" fillId="87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8" fillId="63" borderId="22" applyNumberFormat="0" applyProtection="0">
      <alignment horizontal="right" vertical="center"/>
    </xf>
    <xf numFmtId="0" fontId="43" fillId="108" borderId="100" applyNumberFormat="0" applyFont="0" applyAlignment="0" applyProtection="0"/>
    <xf numFmtId="0" fontId="43" fillId="108" borderId="100" applyNumberFormat="0" applyFont="0" applyAlignment="0" applyProtection="0"/>
    <xf numFmtId="0" fontId="138" fillId="116" borderId="99" applyNumberFormat="0" applyAlignment="0" applyProtection="0"/>
    <xf numFmtId="0" fontId="138" fillId="116" borderId="99" applyNumberFormat="0" applyAlignment="0" applyProtection="0"/>
    <xf numFmtId="0" fontId="25" fillId="71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43" fillId="90" borderId="22" applyNumberFormat="0" applyProtection="0">
      <alignment horizontal="right" vertical="center"/>
    </xf>
    <xf numFmtId="4" fontId="116" fillId="54" borderId="22" applyNumberFormat="0" applyProtection="0">
      <alignment vertical="center"/>
    </xf>
    <xf numFmtId="0" fontId="124" fillId="104" borderId="99" applyNumberFormat="0" applyAlignment="0" applyProtection="0"/>
    <xf numFmtId="0" fontId="124" fillId="104" borderId="99" applyNumberFormat="0" applyAlignment="0" applyProtection="0"/>
    <xf numFmtId="0" fontId="123" fillId="0" borderId="48" applyFill="0" applyProtection="0">
      <alignment horizontal="right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49" fillId="69" borderId="22" applyNumberFormat="0" applyProtection="0">
      <alignment horizontal="right" vertical="center"/>
    </xf>
    <xf numFmtId="4" fontId="48" fillId="68" borderId="27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4" fillId="69" borderId="22" applyNumberFormat="0" applyProtection="0">
      <alignment horizontal="right" vertical="center"/>
    </xf>
    <xf numFmtId="4" fontId="38" fillId="69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4" fontId="36" fillId="66" borderId="27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38" fillId="69" borderId="22" applyNumberFormat="0" applyProtection="0">
      <alignment vertical="center"/>
    </xf>
    <xf numFmtId="0" fontId="15" fillId="71" borderId="26" applyBorder="0"/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38" fillId="62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8" fillId="54" borderId="22" applyNumberFormat="0" applyProtection="0">
      <alignment horizontal="left" vertical="center" indent="1"/>
    </xf>
    <xf numFmtId="4" fontId="37" fillId="54" borderId="22" applyNumberFormat="0" applyProtection="0">
      <alignment vertical="center"/>
    </xf>
    <xf numFmtId="4" fontId="36" fillId="54" borderId="22" applyNumberFormat="0" applyProtection="0">
      <alignment vertical="center"/>
    </xf>
    <xf numFmtId="0" fontId="25" fillId="71" borderId="22" applyNumberFormat="0" applyProtection="0">
      <alignment horizontal="left" vertical="top" indent="1"/>
    </xf>
    <xf numFmtId="4" fontId="43" fillId="102" borderId="22" applyNumberFormat="0" applyProtection="0">
      <alignment horizontal="right" vertical="center"/>
    </xf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4" fontId="48" fillId="68" borderId="27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0" fontId="25" fillId="71" borderId="22" applyNumberFormat="0" applyProtection="0">
      <alignment horizontal="left" vertical="top" indent="1"/>
    </xf>
    <xf numFmtId="4" fontId="43" fillId="102" borderId="22" applyNumberFormat="0" applyProtection="0">
      <alignment horizontal="right" vertical="center"/>
    </xf>
    <xf numFmtId="4" fontId="39" fillId="82" borderId="22" applyNumberFormat="0" applyProtection="0">
      <alignment vertical="center"/>
    </xf>
    <xf numFmtId="0" fontId="25" fillId="71" borderId="22" applyNumberFormat="0" applyProtection="0">
      <alignment horizontal="left" vertical="top" indent="1"/>
    </xf>
    <xf numFmtId="4" fontId="43" fillId="87" borderId="22" applyNumberFormat="0" applyProtection="0">
      <alignment horizontal="right" vertical="center"/>
    </xf>
    <xf numFmtId="0" fontId="43" fillId="108" borderId="100" applyNumberFormat="0" applyFont="0" applyAlignment="0" applyProtection="0"/>
    <xf numFmtId="0" fontId="4" fillId="66" borderId="22" applyNumberFormat="0" applyProtection="0">
      <alignment horizontal="left" vertical="center" indent="1"/>
    </xf>
    <xf numFmtId="4" fontId="91" fillId="100" borderId="36" applyNumberFormat="0" applyProtection="0">
      <alignment horizontal="right" vertical="center"/>
    </xf>
    <xf numFmtId="0" fontId="25" fillId="101" borderId="22" applyNumberFormat="0" applyProtection="0">
      <alignment horizontal="left" vertical="top" indent="1"/>
    </xf>
    <xf numFmtId="4" fontId="36" fillId="54" borderId="22" applyNumberFormat="0" applyProtection="0">
      <alignment vertical="center"/>
    </xf>
    <xf numFmtId="4" fontId="43" fillId="0" borderId="22" applyNumberFormat="0" applyProtection="0">
      <alignment horizontal="left" vertical="center" indent="1"/>
    </xf>
    <xf numFmtId="4" fontId="43" fillId="58" borderId="36" applyNumberFormat="0" applyProtection="0">
      <alignment horizontal="right" vertical="center"/>
    </xf>
    <xf numFmtId="4" fontId="39" fillId="99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54" borderId="36" applyNumberFormat="0" applyProtection="0">
      <alignment vertical="center"/>
    </xf>
    <xf numFmtId="0" fontId="25" fillId="101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38" fillId="69" borderId="22" applyNumberFormat="0" applyProtection="0">
      <alignment vertical="center"/>
    </xf>
    <xf numFmtId="0" fontId="25" fillId="71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116" fillId="54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4" fontId="43" fillId="54" borderId="36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89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87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91" fillId="100" borderId="36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4" fontId="43" fillId="58" borderId="36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43" fillId="91" borderId="36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4" fontId="43" fillId="64" borderId="36" applyNumberFormat="0" applyProtection="0">
      <alignment horizontal="right" vertical="center"/>
    </xf>
    <xf numFmtId="4" fontId="88" fillId="104" borderId="22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43" fillId="89" borderId="22" applyNumberFormat="0" applyProtection="0">
      <alignment horizontal="right" vertical="center"/>
    </xf>
    <xf numFmtId="0" fontId="25" fillId="102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36" fillId="66" borderId="27" applyNumberFormat="0" applyProtection="0">
      <alignment horizontal="left" vertical="center" indent="1"/>
    </xf>
    <xf numFmtId="4" fontId="38" fillId="66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4" fontId="43" fillId="72" borderId="36" applyNumberFormat="0" applyProtection="0">
      <alignment horizontal="left" vertical="center" indent="1"/>
    </xf>
    <xf numFmtId="0" fontId="123" fillId="0" borderId="48" applyFill="0" applyProtection="0">
      <alignment horizontal="right"/>
    </xf>
    <xf numFmtId="0" fontId="4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36" fillId="66" borderId="27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4" fontId="48" fillId="68" borderId="27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0" fontId="4" fillId="106" borderId="36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4" fontId="43" fillId="64" borderId="36" applyNumberFormat="0" applyProtection="0">
      <alignment horizontal="right" vertical="center"/>
    </xf>
    <xf numFmtId="0" fontId="87" fillId="82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38" fillId="54" borderId="22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72" borderId="36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4" fontId="43" fillId="88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72" borderId="22" applyNumberFormat="0" applyProtection="0">
      <alignment vertical="center"/>
    </xf>
    <xf numFmtId="0" fontId="4" fillId="84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9" fillId="69" borderId="22" applyNumberFormat="0" applyProtection="0">
      <alignment horizontal="right" vertical="center"/>
    </xf>
    <xf numFmtId="4" fontId="43" fillId="72" borderId="22" applyNumberFormat="0" applyProtection="0">
      <alignment horizontal="left" vertical="center" indent="1"/>
    </xf>
    <xf numFmtId="4" fontId="36" fillId="54" borderId="22" applyNumberFormat="0" applyProtection="0">
      <alignment vertical="center"/>
    </xf>
    <xf numFmtId="4" fontId="38" fillId="69" borderId="22" applyNumberFormat="0" applyProtection="0">
      <alignment horizontal="right" vertical="center"/>
    </xf>
    <xf numFmtId="4" fontId="43" fillId="72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81" fillId="79" borderId="36" applyNumberFormat="0" applyAlignment="0" applyProtection="0"/>
    <xf numFmtId="4" fontId="43" fillId="54" borderId="36" applyNumberFormat="0" applyProtection="0">
      <alignment horizontal="left" vertical="center" indent="1"/>
    </xf>
    <xf numFmtId="4" fontId="85" fillId="54" borderId="36" applyNumberFormat="0" applyProtection="0">
      <alignment vertical="center"/>
    </xf>
    <xf numFmtId="4" fontId="37" fillId="54" borderId="22" applyNumberFormat="0" applyProtection="0">
      <alignment vertical="center"/>
    </xf>
    <xf numFmtId="4" fontId="43" fillId="5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43" fillId="87" borderId="22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58" borderId="36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100" borderId="97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4" fontId="44" fillId="69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200" fontId="127" fillId="0" borderId="94">
      <alignment horizontal="right"/>
    </xf>
    <xf numFmtId="0" fontId="4" fillId="106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36" applyNumberFormat="0" applyProtection="0">
      <alignment horizontal="left" vertical="center" indent="1"/>
    </xf>
    <xf numFmtId="4" fontId="88" fillId="104" borderId="22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3" fillId="72" borderId="36" applyNumberFormat="0" applyProtection="0">
      <alignment vertical="center"/>
    </xf>
    <xf numFmtId="4" fontId="43" fillId="72" borderId="36" applyNumberFormat="0" applyProtection="0">
      <alignment horizontal="left" vertical="center" indent="1"/>
    </xf>
    <xf numFmtId="4" fontId="43" fillId="0" borderId="36" applyNumberFormat="0" applyProtection="0">
      <alignment horizontal="right" vertical="center"/>
    </xf>
    <xf numFmtId="0" fontId="4" fillId="0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93" fillId="67" borderId="92">
      <protection locked="0"/>
    </xf>
    <xf numFmtId="4" fontId="43" fillId="7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0" borderId="36" applyNumberFormat="0" applyProtection="0">
      <alignment horizontal="left" vertical="center" indent="1"/>
    </xf>
    <xf numFmtId="4" fontId="38" fillId="69" borderId="22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72" borderId="36" applyNumberFormat="0" applyProtection="0">
      <alignment vertical="center"/>
    </xf>
    <xf numFmtId="0" fontId="25" fillId="101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4" fontId="49" fillId="69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36" fillId="66" borderId="22" applyNumberFormat="0" applyProtection="0">
      <alignment horizontal="left" vertical="center" indent="1"/>
    </xf>
    <xf numFmtId="0" fontId="15" fillId="71" borderId="26" applyBorder="0"/>
    <xf numFmtId="4" fontId="44" fillId="69" borderId="22" applyNumberFormat="0" applyProtection="0">
      <alignment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38" fillId="60" borderId="22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0" fontId="4" fillId="106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4" fontId="36" fillId="54" borderId="22" applyNumberFormat="0" applyProtection="0">
      <alignment vertical="center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116" fillId="54" borderId="22" applyNumberFormat="0" applyProtection="0">
      <alignment vertical="center"/>
    </xf>
    <xf numFmtId="0" fontId="25" fillId="107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94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38" fillId="56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124" fillId="104" borderId="99" applyNumberFormat="0" applyAlignment="0" applyProtection="0"/>
    <xf numFmtId="4" fontId="43" fillId="72" borderId="22" applyNumberFormat="0" applyProtection="0">
      <alignment vertical="center"/>
    </xf>
    <xf numFmtId="4" fontId="43" fillId="72" borderId="36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4" fontId="43" fillId="91" borderId="36" applyNumberFormat="0" applyProtection="0">
      <alignment horizontal="right" vertical="center"/>
    </xf>
    <xf numFmtId="4" fontId="43" fillId="56" borderId="36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0" fontId="81" fillId="79" borderId="36" applyNumberFormat="0" applyAlignment="0" applyProtection="0"/>
    <xf numFmtId="4" fontId="38" fillId="69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143" fillId="104" borderId="36" applyNumberFormat="0" applyAlignment="0" applyProtection="0"/>
    <xf numFmtId="4" fontId="43" fillId="0" borderId="36" applyNumberFormat="0" applyProtection="0">
      <alignment horizontal="right" vertical="center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72" borderId="22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200" fontId="127" fillId="0" borderId="94">
      <alignment horizontal="right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100" borderId="36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4" fontId="43" fillId="87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39" fillId="54" borderId="22" applyNumberFormat="0" applyProtection="0">
      <alignment horizontal="left" vertical="top" indent="1"/>
    </xf>
    <xf numFmtId="0" fontId="43" fillId="108" borderId="100" applyNumberFormat="0" applyFont="0" applyAlignment="0" applyProtection="0"/>
    <xf numFmtId="4" fontId="43" fillId="72" borderId="22" applyNumberFormat="0" applyProtection="0">
      <alignment horizontal="left" vertical="center" indent="1"/>
    </xf>
    <xf numFmtId="4" fontId="49" fillId="69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4" fontId="44" fillId="69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15" fillId="71" borderId="26" applyBorder="0"/>
    <xf numFmtId="4" fontId="38" fillId="6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38" fillId="61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38" fillId="58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88" fillId="10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0" fontId="43" fillId="68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0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3" fillId="72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4" fillId="69" borderId="22" applyNumberFormat="0" applyProtection="0">
      <alignment vertical="center"/>
    </xf>
    <xf numFmtId="4" fontId="91" fillId="101" borderId="22" applyNumberFormat="0" applyProtection="0">
      <alignment horizontal="right" vertical="center"/>
    </xf>
    <xf numFmtId="4" fontId="85" fillId="72" borderId="22" applyNumberFormat="0" applyProtection="0">
      <alignment vertical="center"/>
    </xf>
    <xf numFmtId="4" fontId="49" fillId="69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4" fontId="37" fillId="54" borderId="22" applyNumberFormat="0" applyProtection="0">
      <alignment vertical="center"/>
    </xf>
    <xf numFmtId="0" fontId="4" fillId="66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4" fontId="43" fillId="103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4" fontId="43" fillId="88" borderId="22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103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4" fontId="43" fillId="54" borderId="36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0" fontId="4" fillId="69" borderId="22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81" fillId="79" borderId="36" applyNumberFormat="0" applyAlignment="0" applyProtection="0"/>
    <xf numFmtId="4" fontId="39" fillId="82" borderId="22" applyNumberFormat="0" applyProtection="0">
      <alignment vertical="center"/>
    </xf>
    <xf numFmtId="0" fontId="39" fillId="54" borderId="22" applyNumberFormat="0" applyProtection="0">
      <alignment horizontal="left" vertical="top" indent="1"/>
    </xf>
    <xf numFmtId="4" fontId="43" fillId="87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4" fontId="43" fillId="0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0" borderId="36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3" fillId="63" borderId="36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0" fontId="130" fillId="0" borderId="93" applyFill="0" applyBorder="0" applyProtection="0">
      <alignment horizontal="left" vertical="top"/>
    </xf>
    <xf numFmtId="3" fontId="127" fillId="0" borderId="45"/>
    <xf numFmtId="0" fontId="25" fillId="101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138" fillId="116" borderId="99" applyNumberFormat="0" applyAlignment="0" applyProtection="0"/>
    <xf numFmtId="4" fontId="43" fillId="102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100" borderId="97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4" fontId="43" fillId="92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0" fontId="4" fillId="66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25" fillId="101" borderId="22" applyNumberFormat="0" applyProtection="0">
      <alignment horizontal="left" vertical="top" indent="1"/>
    </xf>
    <xf numFmtId="0" fontId="93" fillId="67" borderId="92">
      <protection locked="0"/>
    </xf>
    <xf numFmtId="49" fontId="95" fillId="110" borderId="92"/>
    <xf numFmtId="0" fontId="43" fillId="68" borderId="22" applyNumberFormat="0" applyProtection="0">
      <alignment horizontal="left" vertical="top" indent="1"/>
    </xf>
    <xf numFmtId="4" fontId="36" fillId="66" borderId="22" applyNumberFormat="0" applyProtection="0">
      <alignment horizontal="left" vertical="center" indent="1"/>
    </xf>
    <xf numFmtId="4" fontId="38" fillId="61" borderId="22" applyNumberFormat="0" applyProtection="0">
      <alignment horizontal="right" vertical="center"/>
    </xf>
    <xf numFmtId="0" fontId="25" fillId="71" borderId="22" applyNumberFormat="0" applyProtection="0">
      <alignment horizontal="left" vertical="top" indent="1"/>
    </xf>
    <xf numFmtId="0" fontId="4" fillId="0" borderId="36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43" fillId="94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43" fillId="54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4" fontId="38" fillId="5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4" fontId="36" fillId="66" borderId="27" applyNumberFormat="0" applyProtection="0">
      <alignment horizontal="left" vertical="center" indent="1"/>
    </xf>
    <xf numFmtId="4" fontId="43" fillId="0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3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39" fillId="99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43" fillId="100" borderId="97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0" fontId="25" fillId="71" borderId="22" applyNumberFormat="0" applyProtection="0">
      <alignment horizontal="left" vertical="top" indent="1"/>
    </xf>
    <xf numFmtId="4" fontId="38" fillId="54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4" fontId="43" fillId="57" borderId="36" applyNumberFormat="0" applyProtection="0">
      <alignment horizontal="right" vertical="center"/>
    </xf>
    <xf numFmtId="4" fontId="43" fillId="64" borderId="36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0" fontId="4" fillId="0" borderId="36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39" fillId="54" borderId="22" applyNumberFormat="0" applyProtection="0">
      <alignment horizontal="left" vertical="top" indent="1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92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38" fillId="56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143" fillId="104" borderId="36" applyNumberFormat="0" applyAlignment="0" applyProtection="0"/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4" fontId="36" fillId="66" borderId="27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4" fontId="43" fillId="72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4" fontId="43" fillId="90" borderId="22" applyNumberFormat="0" applyProtection="0">
      <alignment horizontal="right" vertical="center"/>
    </xf>
    <xf numFmtId="4" fontId="43" fillId="58" borderId="36" applyNumberFormat="0" applyProtection="0">
      <alignment horizontal="right" vertical="center"/>
    </xf>
    <xf numFmtId="4" fontId="43" fillId="103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43" fillId="85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130" fillId="0" borderId="93" applyFill="0" applyBorder="0" applyProtection="0">
      <alignment horizontal="left" vertical="top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43" fillId="0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0" fontId="4" fillId="66" borderId="22" applyNumberFormat="0" applyProtection="0">
      <alignment horizontal="left" vertical="center" indent="1"/>
    </xf>
    <xf numFmtId="4" fontId="38" fillId="69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143" fillId="104" borderId="36" applyNumberFormat="0" applyAlignment="0" applyProtection="0"/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3" fillId="68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0" fontId="39" fillId="54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4" fontId="38" fillId="54" borderId="22" applyNumberFormat="0" applyProtection="0">
      <alignment horizontal="left" vertical="center" indent="1"/>
    </xf>
    <xf numFmtId="4" fontId="43" fillId="85" borderId="22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0" fontId="25" fillId="71" borderId="22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4" fontId="43" fillId="72" borderId="22" applyNumberFormat="0" applyProtection="0">
      <alignment vertical="center"/>
    </xf>
    <xf numFmtId="0" fontId="4" fillId="55" borderId="22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4" fontId="38" fillId="57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4" fontId="38" fillId="66" borderId="22" applyNumberFormat="0" applyProtection="0">
      <alignment horizontal="right" vertical="center"/>
    </xf>
    <xf numFmtId="0" fontId="25" fillId="7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4" fontId="43" fillId="100" borderId="97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97" borderId="36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3" fillId="97" borderId="36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38" fillId="56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200" fontId="127" fillId="0" borderId="94">
      <alignment horizontal="right"/>
    </xf>
    <xf numFmtId="4" fontId="43" fillId="88" borderId="22" applyNumberFormat="0" applyProtection="0">
      <alignment horizontal="right" vertical="center"/>
    </xf>
    <xf numFmtId="0" fontId="25" fillId="107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97" borderId="36" applyNumberFormat="0" applyProtection="0">
      <alignment horizontal="right" vertical="center"/>
    </xf>
    <xf numFmtId="4" fontId="43" fillId="0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4" fontId="43" fillId="0" borderId="22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4" fontId="85" fillId="100" borderId="36" applyNumberFormat="0" applyProtection="0">
      <alignment horizontal="right" vertical="center"/>
    </xf>
    <xf numFmtId="0" fontId="25" fillId="102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54" borderId="36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0" fontId="4" fillId="103" borderId="36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102" borderId="22" applyNumberFormat="0" applyProtection="0">
      <alignment horizontal="right" vertical="center"/>
    </xf>
    <xf numFmtId="4" fontId="43" fillId="54" borderId="36" applyNumberFormat="0" applyProtection="0">
      <alignment horizontal="left" vertical="center" indent="1"/>
    </xf>
    <xf numFmtId="4" fontId="38" fillId="59" borderId="22" applyNumberFormat="0" applyProtection="0">
      <alignment horizontal="right" vertical="center"/>
    </xf>
    <xf numFmtId="4" fontId="39" fillId="82" borderId="22" applyNumberFormat="0" applyProtection="0">
      <alignment vertical="center"/>
    </xf>
    <xf numFmtId="0" fontId="43" fillId="108" borderId="100" applyNumberFormat="0" applyFont="0" applyAlignment="0" applyProtection="0"/>
    <xf numFmtId="0" fontId="88" fillId="102" borderId="22" applyNumberFormat="0" applyProtection="0">
      <alignment horizontal="left" vertical="top" indent="1"/>
    </xf>
    <xf numFmtId="4" fontId="43" fillId="0" borderId="22" applyNumberFormat="0" applyProtection="0">
      <alignment horizontal="left" vertical="center" indent="1"/>
    </xf>
    <xf numFmtId="0" fontId="4" fillId="0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4" fontId="44" fillId="69" borderId="22" applyNumberFormat="0" applyProtection="0">
      <alignment vertical="center"/>
    </xf>
    <xf numFmtId="4" fontId="49" fillId="69" borderId="22" applyNumberFormat="0" applyProtection="0">
      <alignment horizontal="right" vertical="center"/>
    </xf>
    <xf numFmtId="4" fontId="48" fillId="68" borderId="27" applyNumberFormat="0" applyProtection="0">
      <alignment horizontal="left" vertical="center" indent="1"/>
    </xf>
    <xf numFmtId="4" fontId="38" fillId="59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4" fontId="44" fillId="69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36" fillId="66" borderId="27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43" fillId="102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90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43" fillId="88" borderId="22" applyNumberFormat="0" applyProtection="0">
      <alignment horizontal="right" vertical="center"/>
    </xf>
    <xf numFmtId="4" fontId="85" fillId="100" borderId="36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38" fillId="57" borderId="22" applyNumberFormat="0" applyProtection="0">
      <alignment horizontal="right" vertical="center"/>
    </xf>
    <xf numFmtId="0" fontId="4" fillId="4" borderId="36" applyNumberFormat="0" applyProtection="0">
      <alignment horizontal="left" vertical="center" indent="1"/>
    </xf>
    <xf numFmtId="4" fontId="43" fillId="88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4" fontId="43" fillId="56" borderId="36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0" fontId="87" fillId="82" borderId="22" applyNumberFormat="0" applyProtection="0">
      <alignment horizontal="left" vertical="top" indent="1"/>
    </xf>
    <xf numFmtId="4" fontId="43" fillId="72" borderId="36" applyNumberFormat="0" applyProtection="0">
      <alignment vertical="center"/>
    </xf>
    <xf numFmtId="4" fontId="39" fillId="82" borderId="22" applyNumberFormat="0" applyProtection="0">
      <alignment vertical="center"/>
    </xf>
    <xf numFmtId="0" fontId="15" fillId="71" borderId="26" applyBorder="0"/>
    <xf numFmtId="4" fontId="38" fillId="69" borderId="22" applyNumberFormat="0" applyProtection="0">
      <alignment horizontal="right" vertical="center"/>
    </xf>
    <xf numFmtId="0" fontId="25" fillId="107" borderId="22" applyNumberFormat="0" applyProtection="0">
      <alignment horizontal="left" vertical="top" indent="1"/>
    </xf>
    <xf numFmtId="4" fontId="38" fillId="62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4" fontId="43" fillId="8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0" fontId="25" fillId="107" borderId="22" applyNumberFormat="0" applyProtection="0">
      <alignment horizontal="left" vertical="top" indent="1"/>
    </xf>
    <xf numFmtId="4" fontId="38" fillId="62" borderId="22" applyNumberFormat="0" applyProtection="0">
      <alignment horizontal="right" vertical="center"/>
    </xf>
    <xf numFmtId="4" fontId="85" fillId="72" borderId="22" applyNumberFormat="0" applyProtection="0">
      <alignment vertical="center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4" fontId="36" fillId="66" borderId="22" applyNumberFormat="0" applyProtection="0">
      <alignment horizontal="left" vertical="center" indent="1"/>
    </xf>
    <xf numFmtId="4" fontId="38" fillId="60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38" fillId="56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38" fillId="64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38" fillId="69" borderId="22" applyNumberFormat="0" applyProtection="0">
      <alignment horizontal="right" vertical="center"/>
    </xf>
    <xf numFmtId="4" fontId="36" fillId="66" borderId="27" applyNumberFormat="0" applyProtection="0">
      <alignment horizontal="left" vertical="center" indent="1"/>
    </xf>
    <xf numFmtId="0" fontId="124" fillId="104" borderId="99" applyNumberFormat="0" applyAlignment="0" applyProtection="0"/>
    <xf numFmtId="0" fontId="123" fillId="0" borderId="48" applyFill="0" applyProtection="0">
      <alignment horizontal="right"/>
    </xf>
    <xf numFmtId="0" fontId="138" fillId="116" borderId="99" applyNumberFormat="0" applyAlignment="0" applyProtection="0"/>
    <xf numFmtId="0" fontId="39" fillId="54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39" fillId="0" borderId="101" applyNumberFormat="0" applyFill="0" applyAlignment="0" applyProtection="0"/>
    <xf numFmtId="0" fontId="43" fillId="68" borderId="22" applyNumberFormat="0" applyProtection="0">
      <alignment horizontal="left" vertical="top" indent="1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0" fontId="43" fillId="108" borderId="100" applyNumberFormat="0" applyFont="0" applyAlignment="0" applyProtection="0"/>
    <xf numFmtId="4" fontId="39" fillId="54" borderId="22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4" fontId="85" fillId="54" borderId="36" applyNumberFormat="0" applyProtection="0">
      <alignment vertical="center"/>
    </xf>
    <xf numFmtId="4" fontId="43" fillId="57" borderId="36" applyNumberFormat="0" applyProtection="0">
      <alignment horizontal="right" vertical="center"/>
    </xf>
    <xf numFmtId="4" fontId="43" fillId="56" borderId="36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72" borderId="36" applyNumberFormat="0" applyProtection="0">
      <alignment vertical="center"/>
    </xf>
    <xf numFmtId="0" fontId="25" fillId="101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25" fillId="71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38" fillId="60" borderId="22" applyNumberFormat="0" applyProtection="0">
      <alignment horizontal="right" vertical="center"/>
    </xf>
    <xf numFmtId="4" fontId="37" fillId="54" borderId="22" applyNumberFormat="0" applyProtection="0">
      <alignment vertical="center"/>
    </xf>
    <xf numFmtId="4" fontId="91" fillId="101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36" fillId="66" borderId="22" applyNumberFormat="0" applyProtection="0">
      <alignment horizontal="left" vertical="center" indent="1"/>
    </xf>
    <xf numFmtId="0" fontId="88" fillId="102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93" fillId="67" borderId="92">
      <protection locked="0"/>
    </xf>
    <xf numFmtId="4" fontId="36" fillId="66" borderId="22" applyNumberFormat="0" applyProtection="0">
      <alignment horizontal="left" vertical="center" indent="1"/>
    </xf>
    <xf numFmtId="4" fontId="43" fillId="89" borderId="22" applyNumberFormat="0" applyProtection="0">
      <alignment horizontal="right" vertical="center"/>
    </xf>
    <xf numFmtId="4" fontId="116" fillId="54" borderId="22" applyNumberFormat="0" applyProtection="0">
      <alignment vertical="center"/>
    </xf>
    <xf numFmtId="4" fontId="38" fillId="58" borderId="22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4" fontId="48" fillId="68" borderId="27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87" borderId="22" applyNumberFormat="0" applyProtection="0">
      <alignment horizontal="right" vertical="center"/>
    </xf>
    <xf numFmtId="0" fontId="25" fillId="71" borderId="22" applyNumberFormat="0" applyProtection="0">
      <alignment horizontal="left" vertical="top" indent="1"/>
    </xf>
    <xf numFmtId="4" fontId="43" fillId="89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102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43" fillId="87" borderId="22" applyNumberFormat="0" applyProtection="0">
      <alignment horizontal="right"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43" fillId="90" borderId="22" applyNumberFormat="0" applyProtection="0">
      <alignment horizontal="right" vertical="center"/>
    </xf>
    <xf numFmtId="4" fontId="43" fillId="72" borderId="22" applyNumberFormat="0" applyProtection="0">
      <alignment vertical="center"/>
    </xf>
    <xf numFmtId="0" fontId="4" fillId="55" borderId="22" applyNumberFormat="0" applyProtection="0">
      <alignment horizontal="left" vertical="top" indent="1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89" borderId="22" applyNumberFormat="0" applyProtection="0">
      <alignment horizontal="right"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38" fillId="58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64" borderId="36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43" fillId="97" borderId="36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7" borderId="36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9" fillId="99" borderId="36" applyNumberFormat="0" applyProtection="0">
      <alignment horizontal="left" vertical="center" indent="1"/>
    </xf>
    <xf numFmtId="4" fontId="48" fillId="68" borderId="27" applyNumberFormat="0" applyProtection="0">
      <alignment horizontal="left" vertical="center" indent="1"/>
    </xf>
    <xf numFmtId="4" fontId="38" fillId="64" borderId="22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4" fontId="43" fillId="63" borderId="36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4" fontId="36" fillId="66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43" fillId="102" borderId="22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4" fontId="43" fillId="100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4" fontId="43" fillId="100" borderId="36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4" fontId="116" fillId="54" borderId="22" applyNumberFormat="0" applyProtection="0">
      <alignment vertical="center"/>
    </xf>
    <xf numFmtId="0" fontId="4" fillId="106" borderId="36" applyNumberFormat="0" applyProtection="0">
      <alignment horizontal="left" vertical="center" indent="1"/>
    </xf>
    <xf numFmtId="4" fontId="43" fillId="97" borderId="36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25" fillId="71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56" borderId="36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0" fontId="4" fillId="4" borderId="36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0" fontId="4" fillId="68" borderId="22" applyNumberFormat="0" applyProtection="0">
      <alignment horizontal="left" vertical="top" indent="1"/>
    </xf>
    <xf numFmtId="4" fontId="88" fillId="104" borderId="22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4" fontId="38" fillId="69" borderId="22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0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123" fillId="0" borderId="48" applyFill="0" applyProtection="0">
      <alignment horizontal="right"/>
    </xf>
    <xf numFmtId="0" fontId="124" fillId="104" borderId="99" applyNumberFormat="0" applyAlignment="0" applyProtection="0"/>
    <xf numFmtId="0" fontId="124" fillId="104" borderId="99" applyNumberFormat="0" applyAlignment="0" applyProtection="0"/>
    <xf numFmtId="0" fontId="43" fillId="68" borderId="22" applyNumberFormat="0" applyProtection="0">
      <alignment horizontal="left" vertical="top" indent="1"/>
    </xf>
    <xf numFmtId="4" fontId="85" fillId="100" borderId="36" applyNumberFormat="0" applyProtection="0">
      <alignment horizontal="right" vertical="center"/>
    </xf>
    <xf numFmtId="4" fontId="43" fillId="0" borderId="36" applyNumberFormat="0" applyProtection="0">
      <alignment horizontal="right" vertical="center"/>
    </xf>
    <xf numFmtId="4" fontId="43" fillId="72" borderId="36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85" fillId="72" borderId="36" applyNumberFormat="0" applyProtection="0">
      <alignment vertical="center"/>
    </xf>
    <xf numFmtId="4" fontId="43" fillId="72" borderId="36" applyNumberFormat="0" applyProtection="0">
      <alignment vertical="center"/>
    </xf>
    <xf numFmtId="4" fontId="88" fillId="108" borderId="22" applyNumberFormat="0" applyProtection="0">
      <alignment vertical="center"/>
    </xf>
    <xf numFmtId="4" fontId="43" fillId="72" borderId="36" applyNumberFormat="0" applyProtection="0">
      <alignment vertical="center"/>
    </xf>
    <xf numFmtId="4" fontId="91" fillId="101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0" fontId="4" fillId="4" borderId="36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89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3" borderId="36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43" fillId="56" borderId="36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54" borderId="36" applyNumberFormat="0" applyProtection="0">
      <alignment horizontal="left" vertical="center" indent="1"/>
    </xf>
    <xf numFmtId="0" fontId="87" fillId="82" borderId="22" applyNumberFormat="0" applyProtection="0">
      <alignment horizontal="left" vertical="top" indent="1"/>
    </xf>
    <xf numFmtId="4" fontId="43" fillId="54" borderId="36" applyNumberFormat="0" applyProtection="0">
      <alignment horizontal="left" vertical="center" indent="1"/>
    </xf>
    <xf numFmtId="0" fontId="138" fillId="116" borderId="99" applyNumberFormat="0" applyAlignment="0" applyProtection="0"/>
    <xf numFmtId="0" fontId="138" fillId="116" borderId="99" applyNumberFormat="0" applyAlignment="0" applyProtection="0"/>
    <xf numFmtId="4" fontId="43" fillId="54" borderId="36" applyNumberFormat="0" applyProtection="0">
      <alignment horizontal="left" vertical="center" indent="1"/>
    </xf>
    <xf numFmtId="200" fontId="127" fillId="0" borderId="94">
      <alignment horizontal="right"/>
    </xf>
    <xf numFmtId="4" fontId="43" fillId="54" borderId="36" applyNumberFormat="0" applyProtection="0">
      <alignment horizontal="left" vertical="center" indent="1"/>
    </xf>
    <xf numFmtId="4" fontId="38" fillId="54" borderId="22" applyNumberFormat="0" applyProtection="0">
      <alignment horizontal="left" vertical="center" indent="1"/>
    </xf>
    <xf numFmtId="4" fontId="37" fillId="54" borderId="22" applyNumberFormat="0" applyProtection="0">
      <alignment vertical="center"/>
    </xf>
    <xf numFmtId="4" fontId="43" fillId="54" borderId="36" applyNumberFormat="0" applyProtection="0">
      <alignment vertical="center"/>
    </xf>
    <xf numFmtId="0" fontId="81" fillId="79" borderId="36" applyNumberFormat="0" applyAlignment="0" applyProtection="0"/>
    <xf numFmtId="0" fontId="81" fillId="79" borderId="36" applyNumberFormat="0" applyAlignment="0" applyProtection="0"/>
    <xf numFmtId="0" fontId="4" fillId="69" borderId="22" applyNumberFormat="0" applyProtection="0">
      <alignment horizontal="left" vertical="top" indent="1"/>
    </xf>
    <xf numFmtId="4" fontId="38" fillId="58" borderId="22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108" borderId="100" applyNumberFormat="0" applyFont="0" applyAlignment="0" applyProtection="0"/>
    <xf numFmtId="0" fontId="43" fillId="108" borderId="100" applyNumberFormat="0" applyFont="0" applyAlignment="0" applyProtection="0"/>
    <xf numFmtId="0" fontId="143" fillId="104" borderId="36" applyNumberFormat="0" applyAlignment="0" applyProtection="0"/>
    <xf numFmtId="0" fontId="143" fillId="104" borderId="36" applyNumberFormat="0" applyAlignment="0" applyProtection="0"/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3" fontId="127" fillId="0" borderId="45"/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0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90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85" fillId="72" borderId="22" applyNumberFormat="0" applyProtection="0">
      <alignment vertical="center"/>
    </xf>
    <xf numFmtId="0" fontId="4" fillId="66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63" borderId="36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130" fillId="0" borderId="93" applyFill="0" applyBorder="0" applyProtection="0">
      <alignment horizontal="left" vertical="top"/>
    </xf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3" fontId="127" fillId="0" borderId="45"/>
    <xf numFmtId="0" fontId="25" fillId="101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88" fillId="104" borderId="22" applyNumberFormat="0" applyProtection="0">
      <alignment horizontal="left" vertical="center" indent="1"/>
    </xf>
    <xf numFmtId="0" fontId="4" fillId="4" borderId="36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143" fillId="104" borderId="36" applyNumberFormat="0" applyAlignment="0" applyProtection="0"/>
    <xf numFmtId="0" fontId="143" fillId="104" borderId="36" applyNumberFormat="0" applyAlignment="0" applyProtection="0"/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43" fillId="108" borderId="100" applyNumberFormat="0" applyFont="0" applyAlignment="0" applyProtection="0"/>
    <xf numFmtId="0" fontId="43" fillId="108" borderId="100" applyNumberFormat="0" applyFont="0" applyAlignment="0" applyProtection="0"/>
    <xf numFmtId="0" fontId="138" fillId="116" borderId="99" applyNumberFormat="0" applyAlignment="0" applyProtection="0"/>
    <xf numFmtId="0" fontId="138" fillId="116" borderId="99" applyNumberFormat="0" applyAlignment="0" applyProtection="0"/>
    <xf numFmtId="4" fontId="38" fillId="61" borderId="22" applyNumberFormat="0" applyProtection="0">
      <alignment horizontal="right" vertical="center"/>
    </xf>
    <xf numFmtId="0" fontId="124" fillId="104" borderId="99" applyNumberFormat="0" applyAlignment="0" applyProtection="0"/>
    <xf numFmtId="0" fontId="124" fillId="104" borderId="99" applyNumberFormat="0" applyAlignment="0" applyProtection="0"/>
    <xf numFmtId="0" fontId="123" fillId="0" borderId="48" applyFill="0" applyProtection="0">
      <alignment horizontal="right"/>
    </xf>
    <xf numFmtId="4" fontId="49" fillId="69" borderId="22" applyNumberFormat="0" applyProtection="0">
      <alignment horizontal="right" vertical="center"/>
    </xf>
    <xf numFmtId="4" fontId="48" fillId="68" borderId="27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4" fillId="69" borderId="22" applyNumberFormat="0" applyProtection="0">
      <alignment horizontal="right" vertical="center"/>
    </xf>
    <xf numFmtId="4" fontId="38" fillId="69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4" fontId="36" fillId="66" borderId="27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38" fillId="69" borderId="22" applyNumberFormat="0" applyProtection="0">
      <alignment vertical="center"/>
    </xf>
    <xf numFmtId="0" fontId="15" fillId="71" borderId="26" applyBorder="0"/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38" fillId="62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8" fillId="54" borderId="22" applyNumberFormat="0" applyProtection="0">
      <alignment horizontal="left" vertical="center" indent="1"/>
    </xf>
    <xf numFmtId="4" fontId="37" fillId="54" borderId="22" applyNumberFormat="0" applyProtection="0">
      <alignment vertical="center"/>
    </xf>
    <xf numFmtId="4" fontId="36" fillId="54" borderId="22" applyNumberFormat="0" applyProtection="0">
      <alignment vertical="center"/>
    </xf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0" fontId="4" fillId="8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38" fillId="59" borderId="22" applyNumberFormat="0" applyProtection="0">
      <alignment horizontal="right" vertical="center"/>
    </xf>
    <xf numFmtId="0" fontId="4" fillId="0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0" fontId="25" fillId="71" borderId="22" applyNumberFormat="0" applyProtection="0">
      <alignment horizontal="left" vertical="top" indent="1"/>
    </xf>
    <xf numFmtId="0" fontId="25" fillId="71" borderId="22" applyNumberFormat="0" applyProtection="0">
      <alignment horizontal="left" vertical="top" indent="1"/>
    </xf>
    <xf numFmtId="0" fontId="4" fillId="103" borderId="36" applyNumberFormat="0" applyProtection="0">
      <alignment horizontal="left" vertical="center" indent="1"/>
    </xf>
    <xf numFmtId="4" fontId="38" fillId="64" borderId="22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4" fontId="38" fillId="62" borderId="22" applyNumberFormat="0" applyProtection="0">
      <alignment horizontal="right" vertical="center"/>
    </xf>
    <xf numFmtId="0" fontId="4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4" fontId="43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0" fontId="4" fillId="103" borderId="36" applyNumberFormat="0" applyProtection="0">
      <alignment horizontal="left" vertical="center" indent="1"/>
    </xf>
    <xf numFmtId="4" fontId="43" fillId="97" borderId="36" applyNumberFormat="0" applyProtection="0">
      <alignment horizontal="right" vertical="center"/>
    </xf>
    <xf numFmtId="4" fontId="48" fillId="68" borderId="27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36" fillId="66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123" fillId="0" borderId="48" applyFill="0" applyProtection="0">
      <alignment horizontal="right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124" fillId="104" borderId="99" applyNumberFormat="0" applyAlignment="0" applyProtection="0"/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38" fillId="54" borderId="22" applyNumberFormat="0" applyProtection="0">
      <alignment horizontal="left" vertical="center" indent="1"/>
    </xf>
    <xf numFmtId="0" fontId="124" fillId="104" borderId="99" applyNumberFormat="0" applyAlignment="0" applyProtection="0"/>
    <xf numFmtId="0" fontId="43" fillId="72" borderId="22" applyNumberFormat="0" applyProtection="0">
      <alignment horizontal="left" vertical="top" indent="1"/>
    </xf>
    <xf numFmtId="0" fontId="124" fillId="104" borderId="99" applyNumberFormat="0" applyAlignment="0" applyProtection="0"/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25" fillId="101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25" fillId="102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25" fillId="71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0" fontId="123" fillId="0" borderId="48" applyFill="0" applyProtection="0">
      <alignment horizontal="right"/>
    </xf>
    <xf numFmtId="0" fontId="124" fillId="104" borderId="99" applyNumberFormat="0" applyAlignment="0" applyProtection="0"/>
    <xf numFmtId="0" fontId="124" fillId="104" borderId="99" applyNumberFormat="0" applyAlignment="0" applyProtection="0"/>
    <xf numFmtId="0" fontId="43" fillId="68" borderId="22" applyNumberFormat="0" applyProtection="0">
      <alignment horizontal="left" vertical="top" indent="1"/>
    </xf>
    <xf numFmtId="0" fontId="4" fillId="0" borderId="36" applyNumberFormat="0" applyProtection="0">
      <alignment horizontal="left" vertical="center" indent="1"/>
    </xf>
    <xf numFmtId="4" fontId="36" fillId="66" borderId="22" applyNumberFormat="0" applyProtection="0">
      <alignment horizontal="left" vertical="center" indent="1"/>
    </xf>
    <xf numFmtId="4" fontId="44" fillId="69" borderId="22" applyNumberFormat="0" applyProtection="0">
      <alignment horizontal="right" vertical="center"/>
    </xf>
    <xf numFmtId="4" fontId="85" fillId="100" borderId="36" applyNumberFormat="0" applyProtection="0">
      <alignment horizontal="right" vertical="center"/>
    </xf>
    <xf numFmtId="4" fontId="43" fillId="72" borderId="36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36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85" fillId="72" borderId="36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36" applyNumberFormat="0" applyProtection="0">
      <alignment vertical="center"/>
    </xf>
    <xf numFmtId="4" fontId="91" fillId="101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25" fillId="101" borderId="22" applyNumberFormat="0" applyProtection="0">
      <alignment horizontal="left" vertical="top" indent="1"/>
    </xf>
    <xf numFmtId="0" fontId="4" fillId="84" borderId="36" applyNumberFormat="0" applyProtection="0">
      <alignment horizontal="left" vertical="center" indent="1"/>
    </xf>
    <xf numFmtId="0" fontId="25" fillId="107" borderId="22" applyNumberFormat="0" applyProtection="0">
      <alignment horizontal="left" vertical="top" indent="1"/>
    </xf>
    <xf numFmtId="0" fontId="25" fillId="102" borderId="22" applyNumberFormat="0" applyProtection="0">
      <alignment horizontal="left" vertical="top" indent="1"/>
    </xf>
    <xf numFmtId="0" fontId="4" fillId="106" borderId="36" applyNumberFormat="0" applyProtection="0">
      <alignment horizontal="left" vertical="center" indent="1"/>
    </xf>
    <xf numFmtId="0" fontId="4" fillId="106" borderId="36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43" fillId="63" borderId="36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4" fontId="43" fillId="93" borderId="36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43" fillId="91" borderId="36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61" borderId="36" applyNumberFormat="0" applyProtection="0">
      <alignment horizontal="right" vertical="center"/>
    </xf>
    <xf numFmtId="4" fontId="43" fillId="56" borderId="36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4" fontId="43" fillId="57" borderId="36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0" fontId="138" fillId="116" borderId="99" applyNumberFormat="0" applyAlignment="0" applyProtection="0"/>
    <xf numFmtId="0" fontId="138" fillId="116" borderId="99" applyNumberFormat="0" applyAlignment="0" applyProtection="0"/>
    <xf numFmtId="4" fontId="43" fillId="54" borderId="36" applyNumberFormat="0" applyProtection="0">
      <alignment horizontal="left" vertical="center" indent="1"/>
    </xf>
    <xf numFmtId="200" fontId="127" fillId="0" borderId="94">
      <alignment horizontal="right"/>
    </xf>
    <xf numFmtId="4" fontId="43" fillId="54" borderId="36" applyNumberFormat="0" applyProtection="0">
      <alignment horizontal="left" vertical="center" indent="1"/>
    </xf>
    <xf numFmtId="4" fontId="38" fillId="54" borderId="22" applyNumberFormat="0" applyProtection="0">
      <alignment horizontal="left" vertical="center" indent="1"/>
    </xf>
    <xf numFmtId="4" fontId="37" fillId="54" borderId="22" applyNumberFormat="0" applyProtection="0">
      <alignment vertical="center"/>
    </xf>
    <xf numFmtId="4" fontId="43" fillId="54" borderId="36" applyNumberFormat="0" applyProtection="0">
      <alignment vertical="center"/>
    </xf>
    <xf numFmtId="0" fontId="39" fillId="54" borderId="22" applyNumberFormat="0" applyProtection="0">
      <alignment horizontal="left" vertical="top" indent="1"/>
    </xf>
    <xf numFmtId="4" fontId="38" fillId="58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0" fontId="81" fillId="79" borderId="36" applyNumberFormat="0" applyAlignment="0" applyProtection="0"/>
    <xf numFmtId="0" fontId="81" fillId="79" borderId="36" applyNumberFormat="0" applyAlignment="0" applyProtection="0"/>
    <xf numFmtId="4" fontId="39" fillId="54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3" fillId="108" borderId="100" applyNumberFormat="0" applyFont="0" applyAlignment="0" applyProtection="0"/>
    <xf numFmtId="0" fontId="43" fillId="108" borderId="100" applyNumberFormat="0" applyFont="0" applyAlignment="0" applyProtection="0"/>
    <xf numFmtId="0" fontId="143" fillId="104" borderId="36" applyNumberFormat="0" applyAlignment="0" applyProtection="0"/>
    <xf numFmtId="0" fontId="143" fillId="104" borderId="36" applyNumberFormat="0" applyAlignment="0" applyProtection="0"/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3" fontId="127" fillId="0" borderId="45"/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90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85" fillId="72" borderId="22" applyNumberFormat="0" applyProtection="0">
      <alignment vertical="center"/>
    </xf>
    <xf numFmtId="0" fontId="4" fillId="66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93" fillId="67" borderId="92">
      <protection locked="0"/>
    </xf>
    <xf numFmtId="49" fontId="95" fillId="110" borderId="92"/>
    <xf numFmtId="0" fontId="130" fillId="0" borderId="93" applyFill="0" applyBorder="0" applyProtection="0">
      <alignment horizontal="left" vertical="top"/>
    </xf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3" fontId="127" fillId="0" borderId="45"/>
    <xf numFmtId="4" fontId="43" fillId="87" borderId="22" applyNumberFormat="0" applyProtection="0">
      <alignment horizontal="right" vertical="center"/>
    </xf>
    <xf numFmtId="4" fontId="116" fillId="54" borderId="22" applyNumberFormat="0" applyProtection="0">
      <alignment vertical="center"/>
    </xf>
    <xf numFmtId="0" fontId="4" fillId="55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4" fillId="69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116" fillId="54" borderId="22" applyNumberFormat="0" applyProtection="0">
      <alignment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88" fillId="102" borderId="22" applyNumberFormat="0" applyProtection="0">
      <alignment horizontal="left" vertical="top" indent="1"/>
    </xf>
    <xf numFmtId="0" fontId="88" fillId="108" borderId="22" applyNumberFormat="0" applyProtection="0">
      <alignment horizontal="left" vertical="top" indent="1"/>
    </xf>
    <xf numFmtId="0" fontId="25" fillId="107" borderId="22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9" fillId="69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4" fillId="69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4" fillId="69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38" fillId="69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58" borderId="36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143" fillId="104" borderId="36" applyNumberFormat="0" applyAlignment="0" applyProtection="0"/>
    <xf numFmtId="0" fontId="143" fillId="104" borderId="36" applyNumberFormat="0" applyAlignment="0" applyProtection="0"/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7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4" fillId="84" borderId="36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3" fillId="63" borderId="36" applyNumberFormat="0" applyProtection="0">
      <alignment horizontal="right" vertical="center"/>
    </xf>
    <xf numFmtId="0" fontId="43" fillId="108" borderId="100" applyNumberFormat="0" applyFont="0" applyAlignment="0" applyProtection="0"/>
    <xf numFmtId="0" fontId="43" fillId="108" borderId="100" applyNumberFormat="0" applyFont="0" applyAlignment="0" applyProtection="0"/>
    <xf numFmtId="0" fontId="138" fillId="116" borderId="99" applyNumberFormat="0" applyAlignment="0" applyProtection="0"/>
    <xf numFmtId="0" fontId="138" fillId="116" borderId="99" applyNumberFormat="0" applyAlignment="0" applyProtection="0"/>
    <xf numFmtId="4" fontId="43" fillId="54" borderId="36" applyNumberFormat="0" applyProtection="0">
      <alignment horizontal="left" vertical="center" indent="1"/>
    </xf>
    <xf numFmtId="4" fontId="43" fillId="93" borderId="36" applyNumberFormat="0" applyProtection="0">
      <alignment horizontal="right" vertical="center"/>
    </xf>
    <xf numFmtId="0" fontId="124" fillId="104" borderId="99" applyNumberFormat="0" applyAlignment="0" applyProtection="0"/>
    <xf numFmtId="0" fontId="124" fillId="104" borderId="99" applyNumberFormat="0" applyAlignment="0" applyProtection="0"/>
    <xf numFmtId="0" fontId="123" fillId="0" borderId="48" applyFill="0" applyProtection="0">
      <alignment horizontal="right"/>
    </xf>
    <xf numFmtId="4" fontId="43" fillId="64" borderId="36" applyNumberFormat="0" applyProtection="0">
      <alignment horizontal="right" vertical="center"/>
    </xf>
    <xf numFmtId="4" fontId="49" fillId="69" borderId="22" applyNumberFormat="0" applyProtection="0">
      <alignment horizontal="right" vertical="center"/>
    </xf>
    <xf numFmtId="4" fontId="48" fillId="68" borderId="27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4" fontId="44" fillId="69" borderId="22" applyNumberFormat="0" applyProtection="0">
      <alignment horizontal="right" vertical="center"/>
    </xf>
    <xf numFmtId="4" fontId="38" fillId="69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4" fontId="36" fillId="66" borderId="27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4" fontId="38" fillId="69" borderId="22" applyNumberFormat="0" applyProtection="0">
      <alignment vertical="center"/>
    </xf>
    <xf numFmtId="0" fontId="15" fillId="71" borderId="26" applyBorder="0"/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4" fontId="38" fillId="62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38" fillId="59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38" fillId="58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8" fillId="54" borderId="22" applyNumberFormat="0" applyProtection="0">
      <alignment horizontal="left" vertical="center" indent="1"/>
    </xf>
    <xf numFmtId="4" fontId="37" fillId="54" borderId="22" applyNumberFormat="0" applyProtection="0">
      <alignment vertical="center"/>
    </xf>
    <xf numFmtId="4" fontId="36" fillId="54" borderId="22" applyNumberFormat="0" applyProtection="0">
      <alignment vertical="center"/>
    </xf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0" fontId="4" fillId="84" borderId="36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64" borderId="36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0" fontId="4" fillId="84" borderId="36" applyNumberFormat="0" applyProtection="0">
      <alignment horizontal="left" vertical="center" indent="1"/>
    </xf>
    <xf numFmtId="0" fontId="4" fillId="84" borderId="36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200" fontId="127" fillId="0" borderId="94">
      <alignment horizontal="right"/>
    </xf>
    <xf numFmtId="0" fontId="4" fillId="66" borderId="22" applyNumberFormat="0" applyProtection="0">
      <alignment horizontal="left" vertical="center" indent="1"/>
    </xf>
    <xf numFmtId="0" fontId="138" fillId="116" borderId="99" applyNumberFormat="0" applyAlignment="0" applyProtection="0"/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96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0" fontId="130" fillId="0" borderId="93" applyFill="0" applyBorder="0" applyProtection="0">
      <alignment horizontal="left" vertical="top"/>
    </xf>
    <xf numFmtId="4" fontId="43" fillId="92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200" fontId="127" fillId="0" borderId="94">
      <alignment horizontal="right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0" fontId="39" fillId="54" borderId="22" applyNumberFormat="0" applyProtection="0">
      <alignment horizontal="left" vertical="top" indent="1"/>
    </xf>
    <xf numFmtId="4" fontId="39" fillId="54" borderId="22" applyNumberFormat="0" applyProtection="0">
      <alignment horizontal="left" vertical="center" indent="1"/>
    </xf>
    <xf numFmtId="0" fontId="143" fillId="104" borderId="36" applyNumberFormat="0" applyAlignment="0" applyProtection="0"/>
    <xf numFmtId="0" fontId="143" fillId="104" borderId="36" applyNumberFormat="0" applyAlignment="0" applyProtection="0"/>
    <xf numFmtId="4" fontId="39" fillId="54" borderId="22" applyNumberFormat="0" applyProtection="0">
      <alignment horizontal="left" vertical="center" indent="1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4" fillId="69" borderId="22" applyNumberFormat="0" applyProtection="0">
      <alignment horizontal="left" vertical="center" indent="1"/>
    </xf>
    <xf numFmtId="0" fontId="43" fillId="108" borderId="100" applyNumberFormat="0" applyFont="0" applyAlignment="0" applyProtection="0"/>
    <xf numFmtId="0" fontId="138" fillId="116" borderId="99" applyNumberFormat="0" applyAlignment="0" applyProtection="0"/>
    <xf numFmtId="4" fontId="44" fillId="69" borderId="22" applyNumberFormat="0" applyProtection="0">
      <alignment horizontal="right" vertical="center"/>
    </xf>
    <xf numFmtId="4" fontId="36" fillId="66" borderId="27" applyNumberFormat="0" applyProtection="0">
      <alignment horizontal="left" vertical="center" indent="1"/>
    </xf>
    <xf numFmtId="4" fontId="38" fillId="69" borderId="22" applyNumberFormat="0" applyProtection="0">
      <alignment vertical="center"/>
    </xf>
    <xf numFmtId="0" fontId="15" fillId="71" borderId="26" applyBorder="0"/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4" fontId="38" fillId="6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38" fillId="57" borderId="22" applyNumberFormat="0" applyProtection="0">
      <alignment horizontal="right" vertical="center"/>
    </xf>
    <xf numFmtId="4" fontId="38" fillId="56" borderId="22" applyNumberFormat="0" applyProtection="0">
      <alignment horizontal="right" vertical="center"/>
    </xf>
    <xf numFmtId="4" fontId="37" fillId="54" borderId="22" applyNumberFormat="0" applyProtection="0">
      <alignment vertical="center"/>
    </xf>
    <xf numFmtId="4" fontId="36" fillId="54" borderId="22" applyNumberFormat="0" applyProtection="0">
      <alignment vertical="center"/>
    </xf>
    <xf numFmtId="0" fontId="39" fillId="0" borderId="101" applyNumberFormat="0" applyFill="0" applyAlignment="0" applyProtection="0"/>
    <xf numFmtId="0" fontId="39" fillId="0" borderId="101" applyNumberFormat="0" applyFill="0" applyAlignment="0" applyProtection="0"/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4" fillId="68" borderId="22" applyNumberFormat="0" applyProtection="0">
      <alignment horizontal="left" vertical="top" indent="1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39" fillId="82" borderId="22" applyNumberFormat="0" applyProtection="0">
      <alignment vertical="center"/>
    </xf>
    <xf numFmtId="4" fontId="116" fillId="54" borderId="22" applyNumberFormat="0" applyProtection="0">
      <alignment vertical="center"/>
    </xf>
    <xf numFmtId="3" fontId="127" fillId="0" borderId="45"/>
    <xf numFmtId="4" fontId="116" fillId="54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0" fontId="39" fillId="54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0" fontId="4" fillId="66" borderId="22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130" fillId="0" borderId="93" applyFill="0" applyBorder="0" applyProtection="0">
      <alignment horizontal="left" vertical="top"/>
    </xf>
    <xf numFmtId="0" fontId="39" fillId="0" borderId="101" applyNumberFormat="0" applyFill="0" applyAlignment="0" applyProtection="0"/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91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4" fillId="69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38" fillId="6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4" fontId="43" fillId="95" borderId="22" applyNumberFormat="0" applyProtection="0">
      <alignment horizontal="right" vertical="center"/>
    </xf>
    <xf numFmtId="4" fontId="38" fillId="6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90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38" fillId="60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4" fontId="38" fillId="5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85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96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4" fontId="43" fillId="94" borderId="22" applyNumberFormat="0" applyProtection="0">
      <alignment horizontal="right" vertical="center"/>
    </xf>
    <xf numFmtId="0" fontId="124" fillId="104" borderId="99" applyNumberFormat="0" applyAlignment="0" applyProtection="0"/>
    <xf numFmtId="0" fontId="4" fillId="66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3" fillId="108" borderId="100" applyNumberFormat="0" applyFont="0" applyAlignment="0" applyProtection="0"/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90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3" fontId="127" fillId="0" borderId="45"/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90" borderId="22" applyNumberFormat="0" applyProtection="0">
      <alignment horizontal="right" vertical="center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4" fontId="43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0" fontId="143" fillId="104" borderId="36" applyNumberFormat="0" applyAlignment="0" applyProtection="0"/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3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130" fillId="0" borderId="93" applyFill="0" applyBorder="0" applyProtection="0">
      <alignment horizontal="left" vertical="top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3" fontId="127" fillId="0" borderId="45"/>
    <xf numFmtId="0" fontId="43" fillId="72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0" fontId="4" fillId="68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0" fontId="43" fillId="72" borderId="22" applyNumberFormat="0" applyProtection="0">
      <alignment horizontal="left" vertical="top" indent="1"/>
    </xf>
    <xf numFmtId="0" fontId="43" fillId="72" borderId="22" applyNumberFormat="0" applyProtection="0">
      <alignment horizontal="left" vertical="top" indent="1"/>
    </xf>
    <xf numFmtId="4" fontId="116" fillId="54" borderId="22" applyNumberFormat="0" applyProtection="0">
      <alignment vertical="center"/>
    </xf>
    <xf numFmtId="4" fontId="116" fillId="54" borderId="22" applyNumberFormat="0" applyProtection="0">
      <alignment vertical="center"/>
    </xf>
    <xf numFmtId="4" fontId="39" fillId="82" borderId="22" applyNumberFormat="0" applyProtection="0">
      <alignment vertical="center"/>
    </xf>
    <xf numFmtId="0" fontId="4" fillId="69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143" fillId="104" borderId="36" applyNumberFormat="0" applyAlignment="0" applyProtection="0"/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4" fontId="43" fillId="10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4" fontId="43" fillId="102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49" fontId="95" fillId="110" borderId="92"/>
    <xf numFmtId="0" fontId="93" fillId="67" borderId="92">
      <protection locked="0"/>
    </xf>
    <xf numFmtId="0" fontId="4" fillId="55" borderId="22" applyNumberFormat="0" applyProtection="0">
      <alignment horizontal="left" vertical="top" indent="1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5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7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8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89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0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2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38" fillId="63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4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5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38" fillId="6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96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4" fontId="43" fillId="102" borderId="22" applyNumberFormat="0" applyProtection="0">
      <alignment horizontal="right" vertical="center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38" fillId="69" borderId="22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4" fontId="36" fillId="66" borderId="27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4" fontId="43" fillId="72" borderId="22" applyNumberFormat="0" applyProtection="0">
      <alignment horizontal="left" vertical="center" indent="1"/>
    </xf>
    <xf numFmtId="0" fontId="43" fillId="72" borderId="22" applyNumberFormat="0" applyProtection="0">
      <alignment horizontal="left" vertical="top" indent="1"/>
    </xf>
    <xf numFmtId="4" fontId="43" fillId="72" borderId="22" applyNumberFormat="0" applyProtection="0">
      <alignment horizontal="left" vertical="center" indent="1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43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4" fontId="43" fillId="102" borderId="22" applyNumberFormat="0" applyProtection="0">
      <alignment horizontal="left" vertical="center" indent="1"/>
    </xf>
    <xf numFmtId="0" fontId="39" fillId="0" borderId="101" applyNumberFormat="0" applyFill="0" applyAlignment="0" applyProtection="0"/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6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4" fontId="43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102" borderId="22" applyNumberFormat="0" applyProtection="0">
      <alignment horizontal="left" vertical="center" indent="1"/>
    </xf>
    <xf numFmtId="4" fontId="43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4" fontId="39" fillId="54" borderId="22" applyNumberFormat="0" applyProtection="0">
      <alignment horizontal="left" vertical="center" indent="1"/>
    </xf>
    <xf numFmtId="0" fontId="39" fillId="54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4" fontId="39" fillId="54" borderId="22" applyNumberFormat="0" applyProtection="0">
      <alignment horizontal="left" vertical="center" indent="1"/>
    </xf>
    <xf numFmtId="0" fontId="4" fillId="55" borderId="22" applyNumberFormat="0" applyProtection="0">
      <alignment horizontal="left" vertical="top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4" fontId="43" fillId="95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0" fontId="4" fillId="66" borderId="22" applyNumberFormat="0" applyProtection="0">
      <alignment horizontal="left" vertical="center" indent="1"/>
    </xf>
    <xf numFmtId="4" fontId="85" fillId="101" borderId="22" applyNumberFormat="0" applyProtection="0">
      <alignment horizontal="right" vertical="center"/>
    </xf>
    <xf numFmtId="0" fontId="4" fillId="55" borderId="22" applyNumberFormat="0" applyProtection="0">
      <alignment horizontal="left" vertical="top" indent="1"/>
    </xf>
    <xf numFmtId="0" fontId="4" fillId="55" borderId="22" applyNumberFormat="0" applyProtection="0">
      <alignment horizontal="left" vertical="top" indent="1"/>
    </xf>
    <xf numFmtId="4" fontId="85" fillId="101" borderId="22" applyNumberFormat="0" applyProtection="0">
      <alignment horizontal="right" vertical="center"/>
    </xf>
    <xf numFmtId="4" fontId="85" fillId="101" borderId="22" applyNumberFormat="0" applyProtection="0">
      <alignment horizontal="right" vertical="center"/>
    </xf>
    <xf numFmtId="0" fontId="4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0" fontId="43" fillId="68" borderId="22" applyNumberFormat="0" applyProtection="0">
      <alignment horizontal="left" vertical="top" indent="1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91" fillId="101" borderId="22" applyNumberFormat="0" applyProtection="0">
      <alignment horizontal="right" vertical="center"/>
    </xf>
    <xf numFmtId="4" fontId="36" fillId="66" borderId="22" applyNumberFormat="0" applyProtection="0">
      <alignment horizontal="left" vertical="center" indent="1"/>
    </xf>
    <xf numFmtId="0" fontId="4" fillId="68" borderId="22" applyNumberFormat="0" applyProtection="0">
      <alignment horizontal="left" vertical="top" indent="1"/>
    </xf>
    <xf numFmtId="0" fontId="4" fillId="66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center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43" fillId="102" borderId="22" applyNumberFormat="0" applyProtection="0">
      <alignment horizontal="left" vertical="center" indent="1"/>
    </xf>
    <xf numFmtId="0" fontId="138" fillId="116" borderId="99" applyNumberFormat="0" applyAlignment="0" applyProtection="0"/>
    <xf numFmtId="0" fontId="43" fillId="108" borderId="100" applyNumberFormat="0" applyFont="0" applyAlignment="0" applyProtection="0"/>
    <xf numFmtId="0" fontId="4" fillId="69" borderId="22" applyNumberFormat="0" applyProtection="0">
      <alignment horizontal="left" vertical="top" indent="1"/>
    </xf>
    <xf numFmtId="4" fontId="38" fillId="66" borderId="22" applyNumberFormat="0" applyProtection="0">
      <alignment horizontal="right" vertical="center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4" fontId="43" fillId="102" borderId="22" applyNumberFormat="0" applyProtection="0">
      <alignment horizontal="right" vertical="center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0" fontId="4" fillId="69" borderId="22" applyNumberFormat="0" applyProtection="0">
      <alignment horizontal="left" vertical="top" indent="1"/>
    </xf>
    <xf numFmtId="4" fontId="85" fillId="72" borderId="22" applyNumberFormat="0" applyProtection="0">
      <alignment vertical="center"/>
    </xf>
    <xf numFmtId="4" fontId="43" fillId="72" borderId="22" applyNumberFormat="0" applyProtection="0">
      <alignment horizontal="left" vertical="center" indent="1"/>
    </xf>
    <xf numFmtId="4" fontId="85" fillId="72" borderId="22" applyNumberFormat="0" applyProtection="0">
      <alignment vertical="center"/>
    </xf>
    <xf numFmtId="4" fontId="85" fillId="72" borderId="22" applyNumberFormat="0" applyProtection="0">
      <alignment vertical="center"/>
    </xf>
    <xf numFmtId="0" fontId="4" fillId="69" borderId="22" applyNumberFormat="0" applyProtection="0">
      <alignment horizontal="left" vertical="top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>
      <protection locked="0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25" fillId="92" borderId="95" applyNumberFormat="0" applyProtection="0">
      <alignment horizontal="right" vertical="center"/>
    </xf>
    <xf numFmtId="4" fontId="25" fillId="98" borderId="96" applyNumberFormat="0" applyProtection="0">
      <alignment horizontal="left" vertical="center" indent="1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0" fontId="25" fillId="107" borderId="95" applyNumberFormat="0" applyProtection="0">
      <alignment horizontal="left" vertical="center" indent="1"/>
    </xf>
    <xf numFmtId="4" fontId="25" fillId="0" borderId="95" applyNumberFormat="0" applyProtection="0">
      <alignment horizontal="right" vertical="center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2" borderId="95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82" borderId="95" applyNumberFormat="0" applyProtection="0">
      <alignment vertical="center"/>
    </xf>
    <xf numFmtId="0" fontId="33" fillId="74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3" fillId="77" borderId="0" applyNumberFormat="0" applyBorder="0" applyAlignment="0" applyProtection="0"/>
    <xf numFmtId="0" fontId="35" fillId="0" borderId="98" applyNumberFormat="0" applyFill="0" applyAlignment="0" applyProtection="0"/>
    <xf numFmtId="0" fontId="35" fillId="0" borderId="98" applyNumberFormat="0" applyFill="0" applyAlignment="0" applyProtection="0"/>
    <xf numFmtId="4" fontId="92" fillId="70" borderId="95" applyNumberFormat="0" applyProtection="0">
      <alignment horizontal="right" vertical="center"/>
    </xf>
    <xf numFmtId="4" fontId="90" fillId="109" borderId="96" applyNumberFormat="0" applyProtection="0">
      <alignment horizontal="left" vertical="center" indent="1"/>
    </xf>
    <xf numFmtId="0" fontId="33" fillId="38" borderId="0" applyNumberFormat="0" applyBorder="0" applyAlignment="0" applyProtection="0"/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86" fillId="67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4" fontId="25" fillId="0" borderId="95" applyNumberFormat="0" applyProtection="0">
      <alignment horizontal="right" vertical="center"/>
    </xf>
    <xf numFmtId="0" fontId="33" fillId="78" borderId="0" applyNumberFormat="0" applyBorder="0" applyAlignment="0" applyProtection="0"/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58" fillId="48" borderId="0" applyNumberFormat="0" applyBorder="0" applyAlignment="0" applyProtection="0"/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60" fillId="79" borderId="95" applyNumberFormat="0" applyAlignment="0" applyProtection="0"/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25" fillId="104" borderId="95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0" fontId="67" fillId="0" borderId="32" applyNumberFormat="0" applyFill="0" applyAlignment="0" applyProtection="0"/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0" fontId="69" fillId="0" borderId="33" applyNumberFormat="0" applyFill="0" applyAlignment="0" applyProtection="0"/>
    <xf numFmtId="0" fontId="71" fillId="0" borderId="0" applyNumberFormat="0" applyFill="0" applyBorder="0" applyAlignment="0" applyProtection="0"/>
    <xf numFmtId="0" fontId="73" fillId="49" borderId="95" applyNumberFormat="0" applyAlignment="0" applyProtection="0"/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0" fontId="75" fillId="0" borderId="35" applyNumberFormat="0" applyFill="0" applyAlignment="0" applyProtection="0"/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4" fillId="71" borderId="96" applyNumberFormat="0" applyProtection="0">
      <alignment horizontal="left" vertical="center" indent="1"/>
    </xf>
    <xf numFmtId="4" fontId="4" fillId="71" borderId="96" applyNumberFormat="0" applyProtection="0">
      <alignment horizontal="left" vertical="center" indent="1"/>
    </xf>
    <xf numFmtId="4" fontId="4" fillId="71" borderId="96" applyNumberFormat="0" applyProtection="0">
      <alignment horizontal="left" vertical="center" indent="1"/>
    </xf>
    <xf numFmtId="0" fontId="4" fillId="0" borderId="0"/>
    <xf numFmtId="4" fontId="25" fillId="98" borderId="96" applyNumberFormat="0" applyProtection="0">
      <alignment horizontal="left" vertical="center" indent="1"/>
    </xf>
    <xf numFmtId="4" fontId="25" fillId="96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0" fontId="25" fillId="48" borderId="95" applyNumberFormat="0" applyFont="0" applyAlignment="0" applyProtection="0"/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0" fontId="84" fillId="0" borderId="72">
      <alignment horizont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86" fillId="54" borderId="95" applyNumberFormat="0" applyProtection="0">
      <alignment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86" fillId="54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0" fontId="73" fillId="49" borderId="95" applyNumberFormat="0" applyAlignment="0" applyProtection="0"/>
    <xf numFmtId="0" fontId="73" fillId="49" borderId="95" applyNumberFormat="0" applyAlignment="0" applyProtection="0"/>
    <xf numFmtId="0" fontId="60" fillId="79" borderId="95" applyNumberFormat="0" applyAlignment="0" applyProtection="0"/>
    <xf numFmtId="4" fontId="4" fillId="71" borderId="96" applyNumberFormat="0" applyProtection="0">
      <alignment horizontal="left" vertical="center" indent="1"/>
    </xf>
    <xf numFmtId="4" fontId="4" fillId="71" borderId="96" applyNumberFormat="0" applyProtection="0">
      <alignment horizontal="left" vertical="center" indent="1"/>
    </xf>
    <xf numFmtId="4" fontId="86" fillId="67" borderId="95" applyNumberFormat="0" applyProtection="0">
      <alignment horizontal="right" vertical="center"/>
    </xf>
    <xf numFmtId="4" fontId="90" fillId="109" borderId="96" applyNumberFormat="0" applyProtection="0">
      <alignment horizontal="left" vertical="center" indent="1"/>
    </xf>
    <xf numFmtId="4" fontId="92" fillId="70" borderId="95" applyNumberFormat="0" applyProtection="0">
      <alignment horizontal="right" vertical="center"/>
    </xf>
    <xf numFmtId="0" fontId="35" fillId="0" borderId="98" applyNumberFormat="0" applyFill="0" applyAlignment="0" applyProtection="0"/>
    <xf numFmtId="0" fontId="98" fillId="0" borderId="0" applyNumberFormat="0" applyFill="0" applyBorder="0" applyAlignment="0" applyProtection="0"/>
    <xf numFmtId="0" fontId="25" fillId="104" borderId="95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5" fillId="0" borderId="95" applyNumberFormat="0" applyProtection="0">
      <alignment horizontal="right" vertical="center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102" borderId="96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4" fillId="71" borderId="9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9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0" fontId="2" fillId="0" borderId="0"/>
    <xf numFmtId="0" fontId="2" fillId="0" borderId="0"/>
    <xf numFmtId="4" fontId="25" fillId="98" borderId="9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9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0" fontId="2" fillId="0" borderId="0"/>
    <xf numFmtId="4" fontId="25" fillId="96" borderId="95" applyNumberFormat="0" applyProtection="0">
      <alignment horizontal="right" vertical="center"/>
    </xf>
    <xf numFmtId="0" fontId="2" fillId="0" borderId="0"/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54" borderId="95" applyNumberFormat="0" applyProtection="0">
      <alignment horizontal="left" vertical="center" indent="1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0" fontId="25" fillId="48" borderId="95" applyNumberFormat="0" applyFont="0" applyAlignment="0" applyProtection="0"/>
    <xf numFmtId="0" fontId="60" fillId="79" borderId="95" applyNumberFormat="0" applyAlignment="0" applyProtection="0"/>
    <xf numFmtId="200" fontId="127" fillId="0" borderId="6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5" fillId="48" borderId="95" applyNumberFormat="0" applyFont="0" applyAlignment="0" applyProtection="0"/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82" borderId="95" applyNumberFormat="0" applyProtection="0">
      <alignment vertical="center"/>
    </xf>
    <xf numFmtId="4" fontId="25" fillId="54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5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6" borderId="95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8" borderId="96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89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0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2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4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5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6" borderId="95" applyNumberFormat="0" applyProtection="0">
      <alignment horizontal="right" vertical="center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98" borderId="96" applyNumberFormat="0" applyProtection="0">
      <alignment horizontal="left" vertical="center" indent="1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2" borderId="95" applyNumberFormat="0" applyProtection="0">
      <alignment horizontal="right" vertical="center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4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4" fontId="25" fillId="0" borderId="95" applyNumberFormat="0" applyProtection="0">
      <alignment horizontal="right" vertical="center"/>
    </xf>
    <xf numFmtId="4" fontId="25" fillId="83" borderId="95" applyNumberFormat="0" applyProtection="0">
      <alignment horizontal="left" vertical="center" indent="1"/>
    </xf>
    <xf numFmtId="0" fontId="84" fillId="0" borderId="72">
      <alignment horizontal="center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0" fontId="130" fillId="0" borderId="3" applyFill="0" applyBorder="0" applyProtection="0">
      <alignment horizontal="left" vertical="top"/>
    </xf>
    <xf numFmtId="8" fontId="4" fillId="0" borderId="104" applyFont="0" applyFill="0" applyBorder="0" applyProtection="0">
      <alignment horizontal="right"/>
    </xf>
    <xf numFmtId="0" fontId="139" fillId="0" borderId="72">
      <alignment horizontal="right"/>
    </xf>
    <xf numFmtId="0" fontId="139" fillId="0" borderId="72">
      <alignment horizontal="left"/>
    </xf>
    <xf numFmtId="0" fontId="84" fillId="0" borderId="72">
      <alignment horizontal="center"/>
    </xf>
    <xf numFmtId="0" fontId="139" fillId="0" borderId="72">
      <alignment horizontal="right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86" fillId="54" borderId="95" applyNumberFormat="0" applyProtection="0">
      <alignment vertical="center"/>
    </xf>
    <xf numFmtId="4" fontId="25" fillId="83" borderId="95" applyNumberFormat="0" applyProtection="0">
      <alignment horizontal="left" vertical="center" indent="1"/>
    </xf>
    <xf numFmtId="4" fontId="4" fillId="71" borderId="96" applyNumberFormat="0" applyProtection="0">
      <alignment horizontal="left" vertical="center" indent="1"/>
    </xf>
    <xf numFmtId="4" fontId="4" fillId="71" borderId="96" applyNumberFormat="0" applyProtection="0">
      <alignment horizontal="left" vertical="center" indent="1"/>
    </xf>
    <xf numFmtId="4" fontId="25" fillId="101" borderId="96" applyNumberFormat="0" applyProtection="0">
      <alignment horizontal="left" vertical="center" indent="1"/>
    </xf>
    <xf numFmtId="4" fontId="25" fillId="102" borderId="96" applyNumberFormat="0" applyProtection="0">
      <alignment horizontal="left" vertical="center" indent="1"/>
    </xf>
    <xf numFmtId="4" fontId="86" fillId="67" borderId="95" applyNumberFormat="0" applyProtection="0">
      <alignment horizontal="right" vertical="center"/>
    </xf>
    <xf numFmtId="4" fontId="25" fillId="83" borderId="95" applyNumberFormat="0" applyProtection="0">
      <alignment horizontal="left" vertical="center" indent="1"/>
    </xf>
    <xf numFmtId="4" fontId="92" fillId="70" borderId="95" applyNumberFormat="0" applyProtection="0">
      <alignment horizontal="right" vertical="center"/>
    </xf>
    <xf numFmtId="4" fontId="25" fillId="83" borderId="95" applyNumberFormat="0" applyProtection="0">
      <alignment horizontal="left" vertical="center" indent="1"/>
    </xf>
    <xf numFmtId="4" fontId="25" fillId="102" borderId="95" applyNumberFormat="0" applyProtection="0">
      <alignment horizontal="right" vertical="center"/>
    </xf>
    <xf numFmtId="0" fontId="25" fillId="104" borderId="95" applyNumberFormat="0" applyProtection="0">
      <alignment horizontal="left" vertical="center" indent="1"/>
    </xf>
    <xf numFmtId="0" fontId="25" fillId="105" borderId="95" applyNumberFormat="0" applyProtection="0">
      <alignment horizontal="left" vertical="center" indent="1"/>
    </xf>
    <xf numFmtId="0" fontId="25" fillId="107" borderId="95" applyNumberFormat="0" applyProtection="0">
      <alignment horizontal="left" vertical="center" indent="1"/>
    </xf>
    <xf numFmtId="0" fontId="25" fillId="101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4" fontId="25" fillId="83" borderId="95" applyNumberFormat="0" applyProtection="0">
      <alignment horizontal="left" vertical="center" indent="1"/>
    </xf>
    <xf numFmtId="0" fontId="25" fillId="70" borderId="111" applyNumberFormat="0">
      <protection locked="0"/>
    </xf>
    <xf numFmtId="4" fontId="36" fillId="65" borderId="110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6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1" fillId="79" borderId="114" applyNumberFormat="0" applyAlignment="0" applyProtection="0"/>
    <xf numFmtId="4" fontId="43" fillId="54" borderId="114" applyNumberFormat="0" applyProtection="0">
      <alignment vertical="center"/>
    </xf>
    <xf numFmtId="4" fontId="43" fillId="54" borderId="114" applyNumberFormat="0" applyProtection="0">
      <alignment vertical="center"/>
    </xf>
    <xf numFmtId="4" fontId="43" fillId="54" borderId="114" applyNumberFormat="0" applyProtection="0">
      <alignment vertical="center"/>
    </xf>
    <xf numFmtId="4" fontId="85" fillId="54" borderId="114" applyNumberFormat="0" applyProtection="0">
      <alignment vertical="center"/>
    </xf>
    <xf numFmtId="4" fontId="43" fillId="54" borderId="114" applyNumberFormat="0" applyProtection="0">
      <alignment horizontal="left" vertical="center" indent="1"/>
    </xf>
    <xf numFmtId="4" fontId="43" fillId="54" borderId="114" applyNumberFormat="0" applyProtection="0">
      <alignment horizontal="left" vertical="center" indent="1"/>
    </xf>
    <xf numFmtId="4" fontId="43" fillId="54" borderId="114" applyNumberFormat="0" applyProtection="0">
      <alignment horizontal="left" vertical="center" indent="1"/>
    </xf>
    <xf numFmtId="4" fontId="43" fillId="54" borderId="114" applyNumberFormat="0" applyProtection="0">
      <alignment horizontal="left" vertical="center" indent="1"/>
    </xf>
    <xf numFmtId="4" fontId="43" fillId="54" borderId="114" applyNumberFormat="0" applyProtection="0">
      <alignment horizontal="left" vertical="center" indent="1"/>
    </xf>
    <xf numFmtId="4" fontId="43" fillId="5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4" fontId="43" fillId="57" borderId="114" applyNumberFormat="0" applyProtection="0">
      <alignment horizontal="right" vertical="center"/>
    </xf>
    <xf numFmtId="4" fontId="43" fillId="57" borderId="114" applyNumberFormat="0" applyProtection="0">
      <alignment horizontal="right" vertical="center"/>
    </xf>
    <xf numFmtId="4" fontId="43" fillId="57" borderId="114" applyNumberFormat="0" applyProtection="0">
      <alignment horizontal="right" vertical="center"/>
    </xf>
    <xf numFmtId="4" fontId="43" fillId="58" borderId="114" applyNumberFormat="0" applyProtection="0">
      <alignment horizontal="right" vertical="center"/>
    </xf>
    <xf numFmtId="4" fontId="43" fillId="58" borderId="114" applyNumberFormat="0" applyProtection="0">
      <alignment horizontal="right" vertical="center"/>
    </xf>
    <xf numFmtId="4" fontId="43" fillId="58" borderId="114" applyNumberFormat="0" applyProtection="0">
      <alignment horizontal="right" vertical="center"/>
    </xf>
    <xf numFmtId="4" fontId="25" fillId="88" borderId="115" applyNumberFormat="0" applyProtection="0">
      <alignment horizontal="right" vertical="center"/>
    </xf>
    <xf numFmtId="4" fontId="43" fillId="56" borderId="114" applyNumberFormat="0" applyProtection="0">
      <alignment horizontal="right" vertical="center"/>
    </xf>
    <xf numFmtId="4" fontId="43" fillId="56" borderId="114" applyNumberFormat="0" applyProtection="0">
      <alignment horizontal="right" vertical="center"/>
    </xf>
    <xf numFmtId="4" fontId="43" fillId="56" borderId="114" applyNumberFormat="0" applyProtection="0">
      <alignment horizontal="right" vertical="center"/>
    </xf>
    <xf numFmtId="4" fontId="25" fillId="88" borderId="115" applyNumberFormat="0" applyProtection="0">
      <alignment horizontal="right" vertical="center"/>
    </xf>
    <xf numFmtId="4" fontId="25" fillId="88" borderId="115" applyNumberFormat="0" applyProtection="0">
      <alignment horizontal="right" vertical="center"/>
    </xf>
    <xf numFmtId="4" fontId="25" fillId="88" borderId="115" applyNumberFormat="0" applyProtection="0">
      <alignment horizontal="right" vertical="center"/>
    </xf>
    <xf numFmtId="4" fontId="25" fillId="88" borderId="115" applyNumberFormat="0" applyProtection="0">
      <alignment horizontal="right" vertical="center"/>
    </xf>
    <xf numFmtId="4" fontId="25" fillId="88" borderId="115" applyNumberFormat="0" applyProtection="0">
      <alignment horizontal="right" vertical="center"/>
    </xf>
    <xf numFmtId="4" fontId="25" fillId="88" borderId="115" applyNumberFormat="0" applyProtection="0">
      <alignment horizontal="right" vertical="center"/>
    </xf>
    <xf numFmtId="4" fontId="25" fillId="88" borderId="115" applyNumberFormat="0" applyProtection="0">
      <alignment horizontal="right" vertical="center"/>
    </xf>
    <xf numFmtId="4" fontId="25" fillId="88" borderId="115" applyNumberFormat="0" applyProtection="0">
      <alignment horizontal="right" vertical="center"/>
    </xf>
    <xf numFmtId="4" fontId="43" fillId="61" borderId="114" applyNumberFormat="0" applyProtection="0">
      <alignment horizontal="right" vertical="center"/>
    </xf>
    <xf numFmtId="4" fontId="43" fillId="61" borderId="114" applyNumberFormat="0" applyProtection="0">
      <alignment horizontal="right" vertical="center"/>
    </xf>
    <xf numFmtId="4" fontId="43" fillId="61" borderId="114" applyNumberFormat="0" applyProtection="0">
      <alignment horizontal="right" vertical="center"/>
    </xf>
    <xf numFmtId="4" fontId="43" fillId="91" borderId="114" applyNumberFormat="0" applyProtection="0">
      <alignment horizontal="right" vertical="center"/>
    </xf>
    <xf numFmtId="4" fontId="43" fillId="91" borderId="114" applyNumberFormat="0" applyProtection="0">
      <alignment horizontal="right" vertical="center"/>
    </xf>
    <xf numFmtId="4" fontId="43" fillId="91" borderId="114" applyNumberFormat="0" applyProtection="0">
      <alignment horizontal="right" vertical="center"/>
    </xf>
    <xf numFmtId="4" fontId="43" fillId="93" borderId="114" applyNumberFormat="0" applyProtection="0">
      <alignment horizontal="right" vertical="center"/>
    </xf>
    <xf numFmtId="4" fontId="43" fillId="93" borderId="114" applyNumberFormat="0" applyProtection="0">
      <alignment horizontal="right" vertical="center"/>
    </xf>
    <xf numFmtId="4" fontId="43" fillId="93" borderId="114" applyNumberFormat="0" applyProtection="0">
      <alignment horizontal="right" vertical="center"/>
    </xf>
    <xf numFmtId="4" fontId="43" fillId="64" borderId="114" applyNumberFormat="0" applyProtection="0">
      <alignment horizontal="right" vertical="center"/>
    </xf>
    <xf numFmtId="4" fontId="43" fillId="64" borderId="114" applyNumberFormat="0" applyProtection="0">
      <alignment horizontal="right" vertical="center"/>
    </xf>
    <xf numFmtId="4" fontId="43" fillId="64" borderId="114" applyNumberFormat="0" applyProtection="0">
      <alignment horizontal="right" vertical="center"/>
    </xf>
    <xf numFmtId="4" fontId="43" fillId="63" borderId="114" applyNumberFormat="0" applyProtection="0">
      <alignment horizontal="right" vertical="center"/>
    </xf>
    <xf numFmtId="4" fontId="43" fillId="63" borderId="114" applyNumberFormat="0" applyProtection="0">
      <alignment horizontal="right" vertical="center"/>
    </xf>
    <xf numFmtId="4" fontId="43" fillId="63" borderId="114" applyNumberFormat="0" applyProtection="0">
      <alignment horizontal="right" vertical="center"/>
    </xf>
    <xf numFmtId="4" fontId="43" fillId="97" borderId="114" applyNumberFormat="0" applyProtection="0">
      <alignment horizontal="right" vertical="center"/>
    </xf>
    <xf numFmtId="4" fontId="43" fillId="97" borderId="114" applyNumberFormat="0" applyProtection="0">
      <alignment horizontal="right" vertical="center"/>
    </xf>
    <xf numFmtId="4" fontId="43" fillId="97" borderId="114" applyNumberFormat="0" applyProtection="0">
      <alignment horizontal="right" vertical="center"/>
    </xf>
    <xf numFmtId="4" fontId="39" fillId="99" borderId="114" applyNumberFormat="0" applyProtection="0">
      <alignment horizontal="left" vertical="center" indent="1"/>
    </xf>
    <xf numFmtId="4" fontId="39" fillId="98" borderId="110" applyNumberFormat="0" applyProtection="0">
      <alignment horizontal="left" vertical="center" indent="1"/>
    </xf>
    <xf numFmtId="4" fontId="25" fillId="98" borderId="115" applyNumberFormat="0" applyProtection="0">
      <alignment horizontal="left" vertical="center" indent="1"/>
    </xf>
    <xf numFmtId="4" fontId="25" fillId="98" borderId="115" applyNumberFormat="0" applyProtection="0">
      <alignment horizontal="left" vertical="center" indent="1"/>
    </xf>
    <xf numFmtId="4" fontId="25" fillId="98" borderId="115" applyNumberFormat="0" applyProtection="0">
      <alignment horizontal="left" vertical="center" indent="1"/>
    </xf>
    <xf numFmtId="4" fontId="25" fillId="98" borderId="115" applyNumberFormat="0" applyProtection="0">
      <alignment horizontal="left" vertical="center" indent="1"/>
    </xf>
    <xf numFmtId="4" fontId="25" fillId="98" borderId="115" applyNumberFormat="0" applyProtection="0">
      <alignment horizontal="left" vertical="center" indent="1"/>
    </xf>
    <xf numFmtId="4" fontId="25" fillId="98" borderId="115" applyNumberFormat="0" applyProtection="0">
      <alignment horizontal="left" vertical="center" indent="1"/>
    </xf>
    <xf numFmtId="4" fontId="25" fillId="98" borderId="115" applyNumberFormat="0" applyProtection="0">
      <alignment horizontal="left" vertical="center" indent="1"/>
    </xf>
    <xf numFmtId="4" fontId="25" fillId="98" borderId="115" applyNumberFormat="0" applyProtection="0">
      <alignment horizontal="left" vertical="center" indent="1"/>
    </xf>
    <xf numFmtId="4" fontId="36" fillId="65" borderId="110" applyNumberFormat="0" applyProtection="0">
      <alignment horizontal="left" vertical="center" indent="1"/>
    </xf>
    <xf numFmtId="4" fontId="25" fillId="98" borderId="115" applyNumberFormat="0" applyProtection="0">
      <alignment horizontal="left" vertical="center" indent="1"/>
    </xf>
    <xf numFmtId="4" fontId="43" fillId="100" borderId="116" applyNumberFormat="0" applyProtection="0">
      <alignment horizontal="left" vertical="center" indent="1"/>
    </xf>
    <xf numFmtId="4" fontId="43" fillId="100" borderId="116" applyNumberFormat="0" applyProtection="0">
      <alignment horizontal="left" vertical="center" indent="1"/>
    </xf>
    <xf numFmtId="4" fontId="43" fillId="100" borderId="116" applyNumberFormat="0" applyProtection="0">
      <alignment horizontal="left" vertical="center" indent="1"/>
    </xf>
    <xf numFmtId="4" fontId="4" fillId="71" borderId="115" applyNumberFormat="0" applyProtection="0">
      <alignment horizontal="left" vertical="center" indent="1"/>
    </xf>
    <xf numFmtId="4" fontId="4" fillId="71" borderId="115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4" fontId="25" fillId="101" borderId="115" applyNumberFormat="0" applyProtection="0">
      <alignment horizontal="left" vertical="center" indent="1"/>
    </xf>
    <xf numFmtId="4" fontId="43" fillId="100" borderId="114" applyNumberFormat="0" applyProtection="0">
      <alignment horizontal="left" vertical="center" indent="1"/>
    </xf>
    <xf numFmtId="4" fontId="43" fillId="100" borderId="114" applyNumberFormat="0" applyProtection="0">
      <alignment horizontal="left" vertical="center" indent="1"/>
    </xf>
    <xf numFmtId="4" fontId="43" fillId="100" borderId="114" applyNumberFormat="0" applyProtection="0">
      <alignment horizontal="left" vertical="center" indent="1"/>
    </xf>
    <xf numFmtId="4" fontId="43" fillId="100" borderId="114" applyNumberFormat="0" applyProtection="0">
      <alignment horizontal="left" vertical="center" indent="1"/>
    </xf>
    <xf numFmtId="4" fontId="43" fillId="100" borderId="114" applyNumberFormat="0" applyProtection="0">
      <alignment horizontal="left" vertical="center" indent="1"/>
    </xf>
    <xf numFmtId="4" fontId="25" fillId="101" borderId="115" applyNumberFormat="0" applyProtection="0">
      <alignment horizontal="left" vertical="center" indent="1"/>
    </xf>
    <xf numFmtId="4" fontId="25" fillId="101" borderId="115" applyNumberFormat="0" applyProtection="0">
      <alignment horizontal="left" vertical="center" indent="1"/>
    </xf>
    <xf numFmtId="4" fontId="25" fillId="101" borderId="115" applyNumberFormat="0" applyProtection="0">
      <alignment horizontal="left" vertical="center" indent="1"/>
    </xf>
    <xf numFmtId="4" fontId="25" fillId="101" borderId="115" applyNumberFormat="0" applyProtection="0">
      <alignment horizontal="left" vertical="center" indent="1"/>
    </xf>
    <xf numFmtId="4" fontId="25" fillId="101" borderId="115" applyNumberFormat="0" applyProtection="0">
      <alignment horizontal="left" vertical="center" indent="1"/>
    </xf>
    <xf numFmtId="4" fontId="25" fillId="101" borderId="115" applyNumberFormat="0" applyProtection="0">
      <alignment horizontal="left" vertical="center" indent="1"/>
    </xf>
    <xf numFmtId="4" fontId="25" fillId="101" borderId="115" applyNumberFormat="0" applyProtection="0">
      <alignment horizontal="left" vertical="center" indent="1"/>
    </xf>
    <xf numFmtId="4" fontId="25" fillId="101" borderId="115" applyNumberFormat="0" applyProtection="0">
      <alignment horizontal="left" vertical="center" indent="1"/>
    </xf>
    <xf numFmtId="4" fontId="25" fillId="102" borderId="115" applyNumberFormat="0" applyProtection="0">
      <alignment horizontal="left" vertical="center" indent="1"/>
    </xf>
    <xf numFmtId="4" fontId="43" fillId="103" borderId="114" applyNumberFormat="0" applyProtection="0">
      <alignment horizontal="left" vertical="center" indent="1"/>
    </xf>
    <xf numFmtId="4" fontId="43" fillId="103" borderId="114" applyNumberFormat="0" applyProtection="0">
      <alignment horizontal="left" vertical="center" indent="1"/>
    </xf>
    <xf numFmtId="4" fontId="43" fillId="103" borderId="114" applyNumberFormat="0" applyProtection="0">
      <alignment horizontal="left" vertical="center" indent="1"/>
    </xf>
    <xf numFmtId="4" fontId="43" fillId="103" borderId="114" applyNumberFormat="0" applyProtection="0">
      <alignment horizontal="left" vertical="center" indent="1"/>
    </xf>
    <xf numFmtId="4" fontId="43" fillId="103" borderId="114" applyNumberFormat="0" applyProtection="0">
      <alignment horizontal="left" vertical="center" indent="1"/>
    </xf>
    <xf numFmtId="4" fontId="25" fillId="102" borderId="115" applyNumberFormat="0" applyProtection="0">
      <alignment horizontal="left" vertical="center" indent="1"/>
    </xf>
    <xf numFmtId="4" fontId="25" fillId="102" borderId="115" applyNumberFormat="0" applyProtection="0">
      <alignment horizontal="left" vertical="center" indent="1"/>
    </xf>
    <xf numFmtId="4" fontId="25" fillId="102" borderId="115" applyNumberFormat="0" applyProtection="0">
      <alignment horizontal="left" vertical="center" indent="1"/>
    </xf>
    <xf numFmtId="4" fontId="25" fillId="102" borderId="115" applyNumberFormat="0" applyProtection="0">
      <alignment horizontal="left" vertical="center" indent="1"/>
    </xf>
    <xf numFmtId="4" fontId="25" fillId="102" borderId="115" applyNumberFormat="0" applyProtection="0">
      <alignment horizontal="left" vertical="center" indent="1"/>
    </xf>
    <xf numFmtId="4" fontId="25" fillId="102" borderId="115" applyNumberFormat="0" applyProtection="0">
      <alignment horizontal="left" vertical="center" indent="1"/>
    </xf>
    <xf numFmtId="4" fontId="25" fillId="102" borderId="115" applyNumberFormat="0" applyProtection="0">
      <alignment horizontal="left" vertical="center" indent="1"/>
    </xf>
    <xf numFmtId="4" fontId="25" fillId="102" borderId="115" applyNumberFormat="0" applyProtection="0">
      <alignment horizontal="left" vertical="center" indent="1"/>
    </xf>
    <xf numFmtId="0" fontId="4" fillId="103" borderId="114" applyNumberFormat="0" applyProtection="0">
      <alignment horizontal="left" vertical="center" indent="1"/>
    </xf>
    <xf numFmtId="0" fontId="4" fillId="103" borderId="114" applyNumberFormat="0" applyProtection="0">
      <alignment horizontal="left" vertical="center" indent="1"/>
    </xf>
    <xf numFmtId="0" fontId="4" fillId="103" borderId="114" applyNumberFormat="0" applyProtection="0">
      <alignment horizontal="left" vertical="center" indent="1"/>
    </xf>
    <xf numFmtId="0" fontId="4" fillId="103" borderId="114" applyNumberFormat="0" applyProtection="0">
      <alignment horizontal="left" vertical="center" indent="1"/>
    </xf>
    <xf numFmtId="0" fontId="4" fillId="103" borderId="114" applyNumberFormat="0" applyProtection="0">
      <alignment horizontal="left" vertical="center" indent="1"/>
    </xf>
    <xf numFmtId="0" fontId="4" fillId="103" borderId="114" applyNumberFormat="0" applyProtection="0">
      <alignment horizontal="left" vertical="center" indent="1"/>
    </xf>
    <xf numFmtId="0" fontId="4" fillId="103" borderId="114" applyNumberFormat="0" applyProtection="0">
      <alignment horizontal="left" vertical="center" indent="1"/>
    </xf>
    <xf numFmtId="0" fontId="4" fillId="103" borderId="114" applyNumberFormat="0" applyProtection="0">
      <alignment horizontal="left" vertical="center" indent="1"/>
    </xf>
    <xf numFmtId="0" fontId="4" fillId="106" borderId="114" applyNumberFormat="0" applyProtection="0">
      <alignment horizontal="left" vertical="center" indent="1"/>
    </xf>
    <xf numFmtId="0" fontId="4" fillId="106" borderId="114" applyNumberFormat="0" applyProtection="0">
      <alignment horizontal="left" vertical="center" indent="1"/>
    </xf>
    <xf numFmtId="0" fontId="4" fillId="106" borderId="114" applyNumberFormat="0" applyProtection="0">
      <alignment horizontal="left" vertical="center" indent="1"/>
    </xf>
    <xf numFmtId="0" fontId="4" fillId="106" borderId="114" applyNumberFormat="0" applyProtection="0">
      <alignment horizontal="left" vertical="center" indent="1"/>
    </xf>
    <xf numFmtId="0" fontId="4" fillId="106" borderId="114" applyNumberFormat="0" applyProtection="0">
      <alignment horizontal="left" vertical="center" indent="1"/>
    </xf>
    <xf numFmtId="0" fontId="4" fillId="106" borderId="114" applyNumberFormat="0" applyProtection="0">
      <alignment horizontal="left" vertical="center" indent="1"/>
    </xf>
    <xf numFmtId="0" fontId="4" fillId="106" borderId="114" applyNumberFormat="0" applyProtection="0">
      <alignment horizontal="left" vertical="center" indent="1"/>
    </xf>
    <xf numFmtId="0" fontId="4" fillId="106" borderId="114" applyNumberFormat="0" applyProtection="0">
      <alignment horizontal="left" vertical="center" indent="1"/>
    </xf>
    <xf numFmtId="0" fontId="4" fillId="4" borderId="114" applyNumberFormat="0" applyProtection="0">
      <alignment horizontal="left" vertical="center" indent="1"/>
    </xf>
    <xf numFmtId="0" fontId="4" fillId="4" borderId="114" applyNumberFormat="0" applyProtection="0">
      <alignment horizontal="left" vertical="center" indent="1"/>
    </xf>
    <xf numFmtId="0" fontId="4" fillId="4" borderId="114" applyNumberFormat="0" applyProtection="0">
      <alignment horizontal="left" vertical="center" indent="1"/>
    </xf>
    <xf numFmtId="0" fontId="4" fillId="4" borderId="114" applyNumberFormat="0" applyProtection="0">
      <alignment horizontal="left" vertical="center" indent="1"/>
    </xf>
    <xf numFmtId="0" fontId="4" fillId="4" borderId="114" applyNumberFormat="0" applyProtection="0">
      <alignment horizontal="left" vertical="center" indent="1"/>
    </xf>
    <xf numFmtId="0" fontId="4" fillId="4" borderId="114" applyNumberFormat="0" applyProtection="0">
      <alignment horizontal="left" vertical="center" indent="1"/>
    </xf>
    <xf numFmtId="0" fontId="4" fillId="4" borderId="114" applyNumberFormat="0" applyProtection="0">
      <alignment horizontal="left" vertical="center" indent="1"/>
    </xf>
    <xf numFmtId="0" fontId="4" fillId="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25" fillId="70" borderId="111" applyNumberFormat="0">
      <protection locked="0"/>
    </xf>
    <xf numFmtId="0" fontId="25" fillId="70" borderId="111" applyNumberFormat="0">
      <protection locked="0"/>
    </xf>
    <xf numFmtId="0" fontId="25" fillId="70" borderId="111" applyNumberFormat="0">
      <protection locked="0"/>
    </xf>
    <xf numFmtId="0" fontId="25" fillId="70" borderId="111" applyNumberFormat="0">
      <protection locked="0"/>
    </xf>
    <xf numFmtId="4" fontId="43" fillId="72" borderId="114" applyNumberFormat="0" applyProtection="0">
      <alignment vertical="center"/>
    </xf>
    <xf numFmtId="4" fontId="43" fillId="72" borderId="114" applyNumberFormat="0" applyProtection="0">
      <alignment vertical="center"/>
    </xf>
    <xf numFmtId="4" fontId="43" fillId="72" borderId="114" applyNumberFormat="0" applyProtection="0">
      <alignment vertical="center"/>
    </xf>
    <xf numFmtId="4" fontId="85" fillId="72" borderId="114" applyNumberFormat="0" applyProtection="0">
      <alignment vertical="center"/>
    </xf>
    <xf numFmtId="4" fontId="43" fillId="72" borderId="114" applyNumberFormat="0" applyProtection="0">
      <alignment horizontal="left" vertical="center" indent="1"/>
    </xf>
    <xf numFmtId="4" fontId="43" fillId="72" borderId="114" applyNumberFormat="0" applyProtection="0">
      <alignment horizontal="left" vertical="center" indent="1"/>
    </xf>
    <xf numFmtId="4" fontId="43" fillId="72" borderId="114" applyNumberFormat="0" applyProtection="0">
      <alignment horizontal="left" vertical="center" indent="1"/>
    </xf>
    <xf numFmtId="4" fontId="43" fillId="72" borderId="114" applyNumberFormat="0" applyProtection="0">
      <alignment horizontal="left" vertical="center" indent="1"/>
    </xf>
    <xf numFmtId="4" fontId="43" fillId="72" borderId="114" applyNumberFormat="0" applyProtection="0">
      <alignment horizontal="left" vertical="center" indent="1"/>
    </xf>
    <xf numFmtId="4" fontId="43" fillId="72" borderId="114" applyNumberFormat="0" applyProtection="0">
      <alignment horizontal="left" vertical="center" indent="1"/>
    </xf>
    <xf numFmtId="4" fontId="43" fillId="0" borderId="114" applyNumberFormat="0" applyProtection="0">
      <alignment horizontal="right" vertical="center"/>
    </xf>
    <xf numFmtId="4" fontId="43" fillId="0" borderId="114" applyNumberFormat="0" applyProtection="0">
      <alignment horizontal="right" vertical="center"/>
    </xf>
    <xf numFmtId="4" fontId="43" fillId="0" borderId="114" applyNumberFormat="0" applyProtection="0">
      <alignment horizontal="right" vertical="center"/>
    </xf>
    <xf numFmtId="4" fontId="85" fillId="100" borderId="114" applyNumberFormat="0" applyProtection="0">
      <alignment horizontal="right" vertical="center"/>
    </xf>
    <xf numFmtId="0" fontId="4" fillId="0" borderId="114" applyNumberFormat="0" applyProtection="0">
      <alignment horizontal="left" vertical="center" indent="1"/>
    </xf>
    <xf numFmtId="0" fontId="4" fillId="0" borderId="114" applyNumberFormat="0" applyProtection="0">
      <alignment horizontal="left" vertical="center" indent="1"/>
    </xf>
    <xf numFmtId="0" fontId="4" fillId="0" borderId="114" applyNumberFormat="0" applyProtection="0">
      <alignment horizontal="left" vertical="center" indent="1"/>
    </xf>
    <xf numFmtId="0" fontId="4" fillId="0" borderId="114" applyNumberFormat="0" applyProtection="0">
      <alignment horizontal="left" vertical="center" indent="1"/>
    </xf>
    <xf numFmtId="0" fontId="4" fillId="0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0" fontId="4" fillId="84" borderId="114" applyNumberFormat="0" applyProtection="0">
      <alignment horizontal="left" vertical="center" indent="1"/>
    </xf>
    <xf numFmtId="4" fontId="91" fillId="100" borderId="114" applyNumberFormat="0" applyProtection="0">
      <alignment horizontal="right" vertical="center"/>
    </xf>
    <xf numFmtId="0" fontId="35" fillId="0" borderId="117" applyNumberFormat="0" applyFill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5" fillId="0" borderId="118" applyNumberFormat="0" applyFill="0" applyAlignment="0" applyProtection="0"/>
    <xf numFmtId="41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7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681">
    <xf numFmtId="0" fontId="0" fillId="0" borderId="0" xfId="0"/>
    <xf numFmtId="0" fontId="11" fillId="0" borderId="0" xfId="4" applyFont="1" applyAlignment="1">
      <alignment horizontal="center"/>
    </xf>
    <xf numFmtId="0" fontId="11" fillId="0" borderId="0" xfId="4" quotePrefix="1" applyFont="1" applyAlignment="1">
      <alignment horizontal="center"/>
    </xf>
    <xf numFmtId="0" fontId="11" fillId="0" borderId="0" xfId="4" applyFont="1" applyAlignment="1" applyProtection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Fill="1"/>
    <xf numFmtId="5" fontId="5" fillId="0" borderId="0" xfId="0" applyNumberFormat="1" applyFont="1" applyAlignment="1">
      <alignment horizontal="center"/>
    </xf>
    <xf numFmtId="0" fontId="5" fillId="0" borderId="0" xfId="0" applyFont="1" applyAlignment="1" applyProtection="1">
      <alignment horizontal="left"/>
    </xf>
    <xf numFmtId="0" fontId="10" fillId="0" borderId="0" xfId="0" applyFont="1" applyAlignment="1" applyProtection="1">
      <alignment horizontal="left"/>
    </xf>
    <xf numFmtId="0" fontId="6" fillId="0" borderId="0" xfId="0" applyFont="1"/>
    <xf numFmtId="0" fontId="5" fillId="0" borderId="0" xfId="0" applyFont="1" applyBorder="1"/>
    <xf numFmtId="166" fontId="5" fillId="0" borderId="0" xfId="1" applyNumberFormat="1" applyFont="1" applyFill="1" applyBorder="1"/>
    <xf numFmtId="172" fontId="5" fillId="0" borderId="0" xfId="1" applyNumberFormat="1" applyFont="1" applyFill="1" applyBorder="1"/>
    <xf numFmtId="172" fontId="5" fillId="0" borderId="0" xfId="0" applyNumberFormat="1" applyFont="1" applyFill="1" applyBorder="1"/>
    <xf numFmtId="165" fontId="5" fillId="0" borderId="0" xfId="2" applyNumberFormat="1" applyFont="1" applyFill="1" applyBorder="1"/>
    <xf numFmtId="166" fontId="5" fillId="0" borderId="0" xfId="1" applyNumberFormat="1" applyFont="1" applyBorder="1"/>
    <xf numFmtId="10" fontId="5" fillId="0" borderId="1" xfId="3" applyNumberFormat="1" applyFont="1" applyBorder="1" applyAlignment="1" applyProtection="1">
      <alignment horizontal="right"/>
      <protection locked="0"/>
    </xf>
    <xf numFmtId="0" fontId="27" fillId="0" borderId="0" xfId="0" applyFont="1"/>
    <xf numFmtId="0" fontId="5" fillId="0" borderId="0" xfId="54" applyFont="1" applyFill="1" applyBorder="1"/>
    <xf numFmtId="165" fontId="5" fillId="0" borderId="0" xfId="2011" applyNumberFormat="1" applyFont="1"/>
    <xf numFmtId="0" fontId="13" fillId="0" borderId="0" xfId="1965" applyFont="1" applyBorder="1"/>
    <xf numFmtId="0" fontId="5" fillId="0" borderId="0" xfId="4" applyFont="1" applyProtection="1"/>
    <xf numFmtId="0" fontId="5" fillId="0" borderId="0" xfId="4" applyFont="1" applyAlignment="1" applyProtection="1">
      <alignment horizontal="left"/>
    </xf>
    <xf numFmtId="0" fontId="5" fillId="0" borderId="0" xfId="4" applyFont="1" applyAlignment="1" applyProtection="1">
      <alignment horizontal="left" vertical="center"/>
    </xf>
    <xf numFmtId="0" fontId="10" fillId="0" borderId="0" xfId="4" applyFont="1" applyProtection="1"/>
    <xf numFmtId="0" fontId="10" fillId="0" borderId="0" xfId="4" applyFont="1" applyAlignment="1" applyProtection="1">
      <alignment horizontal="left"/>
    </xf>
    <xf numFmtId="0" fontId="5" fillId="0" borderId="0" xfId="1965" applyFont="1" applyFill="1" applyAlignment="1">
      <alignment horizontal="center"/>
    </xf>
    <xf numFmtId="172" fontId="5" fillId="0" borderId="0" xfId="1963" applyNumberFormat="1" applyFont="1"/>
    <xf numFmtId="165" fontId="6" fillId="0" borderId="0" xfId="1963" applyNumberFormat="1" applyFont="1"/>
    <xf numFmtId="166" fontId="6" fillId="0" borderId="53" xfId="22" applyNumberFormat="1" applyFont="1" applyBorder="1"/>
    <xf numFmtId="181" fontId="6" fillId="0" borderId="49" xfId="22" applyNumberFormat="1" applyFont="1" applyBorder="1"/>
    <xf numFmtId="181" fontId="5" fillId="0" borderId="4" xfId="4" applyNumberFormat="1" applyFont="1" applyBorder="1" applyAlignment="1">
      <alignment horizontal="right"/>
    </xf>
    <xf numFmtId="0" fontId="5" fillId="0" borderId="0" xfId="2012" applyFont="1" applyFill="1" applyBorder="1" applyAlignment="1">
      <alignment horizontal="center"/>
    </xf>
    <xf numFmtId="0" fontId="6" fillId="0" borderId="0" xfId="2012" applyFont="1" applyBorder="1" applyAlignment="1">
      <alignment horizontal="center"/>
    </xf>
    <xf numFmtId="0" fontId="6" fillId="0" borderId="0" xfId="2012" applyFont="1" applyProtection="1"/>
    <xf numFmtId="0" fontId="6" fillId="0" borderId="0" xfId="2012" applyFont="1"/>
    <xf numFmtId="0" fontId="6" fillId="0" borderId="0" xfId="2012" applyFont="1" applyAlignment="1">
      <alignment horizontal="left"/>
    </xf>
    <xf numFmtId="0" fontId="5" fillId="0" borderId="0" xfId="2012" applyFont="1" applyBorder="1" applyAlignment="1">
      <alignment horizontal="center"/>
    </xf>
    <xf numFmtId="0" fontId="6" fillId="0" borderId="0" xfId="2012" applyFont="1" applyBorder="1" applyProtection="1"/>
    <xf numFmtId="0" fontId="6" fillId="0" borderId="0" xfId="2012" applyFont="1" applyBorder="1"/>
    <xf numFmtId="0" fontId="6" fillId="0" borderId="0" xfId="2012" applyFont="1" applyBorder="1" applyAlignment="1" applyProtection="1"/>
    <xf numFmtId="0" fontId="13" fillId="0" borderId="0" xfId="2012" applyFont="1" applyBorder="1" applyAlignment="1" applyProtection="1"/>
    <xf numFmtId="183" fontId="5" fillId="0" borderId="0" xfId="2012" applyNumberFormat="1" applyFont="1" applyAlignment="1">
      <alignment horizontal="right"/>
    </xf>
    <xf numFmtId="0" fontId="5" fillId="0" borderId="0" xfId="2012" applyFont="1" applyProtection="1"/>
    <xf numFmtId="183" fontId="5" fillId="0" borderId="0" xfId="2012" applyNumberFormat="1" applyFont="1" applyFill="1" applyAlignment="1">
      <alignment horizontal="right"/>
    </xf>
    <xf numFmtId="183" fontId="5" fillId="0" borderId="0" xfId="2012" quotePrefix="1" applyNumberFormat="1" applyFont="1" applyAlignment="1">
      <alignment horizontal="right"/>
    </xf>
    <xf numFmtId="0" fontId="6" fillId="0" borderId="0" xfId="2012" applyFont="1" applyAlignment="1"/>
    <xf numFmtId="0" fontId="13" fillId="0" borderId="0" xfId="2012" applyFont="1" applyProtection="1"/>
    <xf numFmtId="0" fontId="5" fillId="0" borderId="0" xfId="2012" applyFont="1"/>
    <xf numFmtId="0" fontId="6" fillId="0" borderId="0" xfId="2012" applyFont="1" applyBorder="1" applyAlignment="1">
      <alignment horizontal="left"/>
    </xf>
    <xf numFmtId="182" fontId="5" fillId="0" borderId="0" xfId="2012" applyNumberFormat="1" applyFont="1" applyBorder="1" applyAlignment="1" applyProtection="1">
      <alignment horizontal="left"/>
    </xf>
    <xf numFmtId="0" fontId="5" fillId="0" borderId="0" xfId="2012" applyNumberFormat="1" applyFont="1" applyBorder="1" applyAlignment="1">
      <alignment horizontal="center"/>
    </xf>
    <xf numFmtId="0" fontId="6" fillId="0" borderId="0" xfId="2012" applyFont="1" applyFill="1" applyBorder="1" applyAlignment="1">
      <alignment horizontal="center"/>
    </xf>
    <xf numFmtId="0" fontId="13" fillId="0" borderId="0" xfId="2012" applyFont="1" applyBorder="1" applyProtection="1"/>
    <xf numFmtId="0" fontId="13" fillId="0" borderId="0" xfId="2012" applyFont="1" applyFill="1" applyBorder="1" applyAlignment="1">
      <alignment horizontal="center"/>
    </xf>
    <xf numFmtId="0" fontId="5" fillId="0" borderId="0" xfId="2012" applyFont="1" applyBorder="1" applyProtection="1"/>
    <xf numFmtId="165" fontId="5" fillId="0" borderId="0" xfId="21" applyNumberFormat="1" applyFont="1" applyFill="1" applyBorder="1" applyProtection="1">
      <protection locked="0"/>
    </xf>
    <xf numFmtId="0" fontId="5" fillId="0" borderId="0" xfId="2012" applyNumberFormat="1" applyFont="1" applyFill="1" applyBorder="1" applyAlignment="1">
      <alignment horizontal="center"/>
    </xf>
    <xf numFmtId="165" fontId="5" fillId="0" borderId="0" xfId="2012" applyNumberFormat="1" applyFont="1" applyBorder="1" applyAlignment="1" applyProtection="1">
      <alignment horizontal="right"/>
      <protection locked="0"/>
    </xf>
    <xf numFmtId="0" fontId="6" fillId="0" borderId="0" xfId="2012" applyNumberFormat="1" applyFont="1" applyBorder="1" applyAlignment="1">
      <alignment horizontal="left"/>
    </xf>
    <xf numFmtId="10" fontId="6" fillId="0" borderId="0" xfId="61" applyNumberFormat="1" applyFont="1" applyBorder="1"/>
    <xf numFmtId="10" fontId="6" fillId="0" borderId="0" xfId="1043" applyNumberFormat="1" applyFont="1" applyAlignment="1" applyProtection="1">
      <alignment horizontal="right"/>
    </xf>
    <xf numFmtId="165" fontId="6" fillId="0" borderId="0" xfId="2012" applyNumberFormat="1" applyFont="1" applyBorder="1" applyAlignment="1" applyProtection="1">
      <alignment horizontal="right"/>
      <protection locked="0"/>
    </xf>
    <xf numFmtId="0" fontId="5" fillId="0" borderId="0" xfId="2012" applyFont="1" applyBorder="1"/>
    <xf numFmtId="10" fontId="6" fillId="0" borderId="0" xfId="61" applyNumberFormat="1" applyFont="1"/>
    <xf numFmtId="183" fontId="6" fillId="0" borderId="0" xfId="2012" quotePrefix="1" applyNumberFormat="1" applyFont="1" applyBorder="1" applyAlignment="1">
      <alignment horizontal="right"/>
    </xf>
    <xf numFmtId="183" fontId="5" fillId="0" borderId="0" xfId="2012" applyNumberFormat="1" applyFont="1" applyFill="1" applyBorder="1" applyAlignment="1" applyProtection="1">
      <alignment horizontal="right"/>
      <protection locked="0"/>
    </xf>
    <xf numFmtId="0" fontId="5" fillId="0" borderId="0" xfId="1965" applyFont="1" applyAlignment="1">
      <alignment horizontal="center"/>
    </xf>
    <xf numFmtId="0" fontId="6" fillId="0" borderId="0" xfId="1965" applyFont="1"/>
    <xf numFmtId="0" fontId="13" fillId="0" borderId="0" xfId="1965" applyFont="1"/>
    <xf numFmtId="167" fontId="5" fillId="0" borderId="0" xfId="1043" applyNumberFormat="1" applyFont="1" applyAlignment="1">
      <alignment horizontal="right"/>
    </xf>
    <xf numFmtId="165" fontId="5" fillId="0" borderId="0" xfId="2039" applyNumberFormat="1" applyFont="1" applyFill="1"/>
    <xf numFmtId="165" fontId="5" fillId="0" borderId="0" xfId="2039" applyNumberFormat="1" applyFont="1" applyAlignment="1">
      <alignment horizontal="right"/>
    </xf>
    <xf numFmtId="0" fontId="6" fillId="0" borderId="0" xfId="1965" applyFont="1" applyFill="1" applyBorder="1" applyAlignment="1">
      <alignment horizontal="center"/>
    </xf>
    <xf numFmtId="0" fontId="6" fillId="0" borderId="0" xfId="1965" applyFont="1" applyBorder="1"/>
    <xf numFmtId="175" fontId="6" fillId="0" borderId="0" xfId="1965" applyNumberFormat="1" applyFont="1"/>
    <xf numFmtId="0" fontId="6" fillId="0" borderId="0" xfId="1965" applyFont="1" applyBorder="1" applyAlignment="1">
      <alignment horizontal="center"/>
    </xf>
    <xf numFmtId="0" fontId="5" fillId="0" borderId="0" xfId="1965" applyFont="1" applyBorder="1" applyAlignment="1">
      <alignment horizontal="left"/>
    </xf>
    <xf numFmtId="165" fontId="6" fillId="0" borderId="0" xfId="1965" applyNumberFormat="1" applyFont="1" applyFill="1"/>
    <xf numFmtId="165" fontId="6" fillId="0" borderId="0" xfId="1965" applyNumberFormat="1" applyFont="1"/>
    <xf numFmtId="44" fontId="6" fillId="0" borderId="0" xfId="1965" applyNumberFormat="1" applyFont="1"/>
    <xf numFmtId="165" fontId="5" fillId="0" borderId="0" xfId="21" applyNumberFormat="1" applyFont="1" applyFill="1" applyBorder="1" applyAlignment="1" applyProtection="1">
      <alignment horizontal="right"/>
      <protection locked="0"/>
    </xf>
    <xf numFmtId="0" fontId="6" fillId="0" borderId="4" xfId="4" applyFont="1" applyBorder="1"/>
    <xf numFmtId="0" fontId="6" fillId="0" borderId="4" xfId="4" applyFont="1" applyBorder="1" applyAlignment="1">
      <alignment horizontal="center"/>
    </xf>
    <xf numFmtId="10" fontId="6" fillId="0" borderId="4" xfId="61" applyNumberFormat="1" applyFont="1" applyBorder="1" applyAlignment="1">
      <alignment horizontal="center"/>
    </xf>
    <xf numFmtId="0" fontId="6" fillId="0" borderId="54" xfId="4" applyFont="1" applyBorder="1"/>
    <xf numFmtId="0" fontId="6" fillId="0" borderId="42" xfId="4" applyFont="1" applyBorder="1"/>
    <xf numFmtId="0" fontId="6" fillId="0" borderId="0" xfId="4" applyFont="1" applyBorder="1" applyAlignment="1">
      <alignment horizontal="left"/>
    </xf>
    <xf numFmtId="10" fontId="6" fillId="0" borderId="0" xfId="1043" applyNumberFormat="1" applyFont="1" applyBorder="1" applyAlignment="1">
      <alignment horizontal="right"/>
    </xf>
    <xf numFmtId="0" fontId="5" fillId="0" borderId="0" xfId="1965" applyFont="1"/>
    <xf numFmtId="165" fontId="5" fillId="0" borderId="0" xfId="2069" applyNumberFormat="1" applyFont="1" applyFill="1" applyBorder="1" applyProtection="1">
      <protection locked="0"/>
    </xf>
    <xf numFmtId="0" fontId="5" fillId="0" borderId="0" xfId="1604" applyFont="1" applyFill="1" applyBorder="1"/>
    <xf numFmtId="0" fontId="5" fillId="0" borderId="0" xfId="0" applyFont="1" applyProtection="1"/>
    <xf numFmtId="0" fontId="5" fillId="0" borderId="94" xfId="4" applyFont="1" applyBorder="1"/>
    <xf numFmtId="0" fontId="5" fillId="0" borderId="81" xfId="4" applyFont="1" applyBorder="1" applyAlignment="1">
      <alignment horizontal="center"/>
    </xf>
    <xf numFmtId="0" fontId="6" fillId="0" borderId="0" xfId="4" applyFont="1" applyAlignment="1"/>
    <xf numFmtId="0" fontId="6" fillId="0" borderId="0" xfId="4" applyFont="1" applyBorder="1"/>
    <xf numFmtId="0" fontId="5" fillId="0" borderId="0" xfId="4" applyFont="1" applyBorder="1"/>
    <xf numFmtId="0" fontId="5" fillId="0" borderId="0" xfId="2001" applyFont="1"/>
    <xf numFmtId="0" fontId="5" fillId="0" borderId="0" xfId="2001" applyFont="1" applyFill="1" applyBorder="1"/>
    <xf numFmtId="0" fontId="5" fillId="0" borderId="0" xfId="2001" applyFont="1" applyFill="1" applyAlignment="1">
      <alignment horizontal="center"/>
    </xf>
    <xf numFmtId="165" fontId="5" fillId="0" borderId="0" xfId="23" applyNumberFormat="1" applyFont="1" applyAlignment="1">
      <alignment horizontal="center"/>
    </xf>
    <xf numFmtId="5" fontId="5" fillId="0" borderId="0" xfId="0" applyNumberFormat="1" applyFont="1" applyFill="1" applyAlignment="1">
      <alignment horizontal="center"/>
    </xf>
    <xf numFmtId="5" fontId="5" fillId="0" borderId="0" xfId="0" applyNumberFormat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5" fillId="0" borderId="0" xfId="4" applyFont="1"/>
    <xf numFmtId="0" fontId="5" fillId="0" borderId="0" xfId="4" applyFont="1" applyAlignment="1">
      <alignment horizontal="center"/>
    </xf>
    <xf numFmtId="0" fontId="5" fillId="0" borderId="0" xfId="4" applyFont="1" applyFill="1"/>
    <xf numFmtId="0" fontId="6" fillId="0" borderId="0" xfId="4" applyFont="1" applyFill="1" applyAlignment="1"/>
    <xf numFmtId="165" fontId="6" fillId="0" borderId="0" xfId="21" quotePrefix="1" applyNumberFormat="1" applyFont="1" applyFill="1" applyBorder="1" applyAlignment="1">
      <alignment horizontal="right"/>
    </xf>
    <xf numFmtId="0" fontId="6" fillId="0" borderId="0" xfId="4" applyFont="1" applyFill="1" applyBorder="1"/>
    <xf numFmtId="173" fontId="6" fillId="0" borderId="0" xfId="4" applyNumberFormat="1" applyFont="1" applyFill="1" applyAlignment="1" applyProtection="1">
      <alignment horizontal="center"/>
    </xf>
    <xf numFmtId="0" fontId="6" fillId="0" borderId="0" xfId="4" applyFont="1" applyFill="1"/>
    <xf numFmtId="0" fontId="5" fillId="0" borderId="0" xfId="4" applyFont="1" applyFill="1" applyAlignment="1">
      <alignment horizontal="center"/>
    </xf>
    <xf numFmtId="0" fontId="13" fillId="0" borderId="0" xfId="4" applyFont="1" applyFill="1" applyBorder="1" applyAlignment="1">
      <alignment horizontal="left"/>
    </xf>
    <xf numFmtId="0" fontId="6" fillId="0" borderId="0" xfId="4" applyFont="1" applyFill="1" applyBorder="1" applyAlignment="1" applyProtection="1">
      <alignment horizontal="center"/>
      <protection locked="0"/>
    </xf>
    <xf numFmtId="0" fontId="5" fillId="0" borderId="0" xfId="4" applyFont="1" applyFill="1" applyAlignment="1" applyProtection="1">
      <alignment horizontal="left"/>
    </xf>
    <xf numFmtId="0" fontId="5" fillId="0" borderId="0" xfId="4" applyFont="1" applyFill="1" applyBorder="1" applyAlignment="1" applyProtection="1">
      <alignment horizontal="left"/>
    </xf>
    <xf numFmtId="0" fontId="6" fillId="0" borderId="0" xfId="4" applyFont="1" applyFill="1" applyAlignment="1" applyProtection="1">
      <alignment horizontal="left"/>
    </xf>
    <xf numFmtId="166" fontId="6" fillId="0" borderId="0" xfId="2408" applyNumberFormat="1" applyFont="1" applyFill="1" applyAlignment="1" applyProtection="1">
      <alignment horizontal="center"/>
    </xf>
    <xf numFmtId="166" fontId="6" fillId="0" borderId="0" xfId="2408" applyNumberFormat="1" applyFont="1" applyFill="1" applyAlignment="1" applyProtection="1">
      <alignment horizontal="right"/>
    </xf>
    <xf numFmtId="166" fontId="6" fillId="0" borderId="0" xfId="2408" applyNumberFormat="1" applyFont="1" applyFill="1" applyBorder="1" applyAlignment="1" applyProtection="1">
      <alignment horizontal="center"/>
    </xf>
    <xf numFmtId="0" fontId="6" fillId="0" borderId="0" xfId="4" applyFont="1" applyFill="1" applyBorder="1" applyAlignment="1" applyProtection="1">
      <alignment horizontal="left"/>
    </xf>
    <xf numFmtId="165" fontId="6" fillId="0" borderId="0" xfId="21" applyNumberFormat="1" applyFont="1" applyFill="1" applyBorder="1" applyAlignment="1" applyProtection="1">
      <alignment horizontal="right"/>
    </xf>
    <xf numFmtId="0" fontId="6" fillId="0" borderId="0" xfId="4" applyFont="1" applyBorder="1" applyAlignment="1">
      <alignment horizontal="center"/>
    </xf>
    <xf numFmtId="0" fontId="5" fillId="0" borderId="0" xfId="4" applyFont="1" applyFill="1" applyAlignment="1"/>
    <xf numFmtId="0" fontId="5" fillId="0" borderId="0" xfId="4" applyFont="1" applyFill="1" applyBorder="1"/>
    <xf numFmtId="165" fontId="5" fillId="0" borderId="0" xfId="21" applyNumberFormat="1" applyFont="1" applyFill="1" applyAlignment="1" applyProtection="1">
      <alignment horizontal="right"/>
    </xf>
    <xf numFmtId="166" fontId="5" fillId="0" borderId="0" xfId="2408" applyNumberFormat="1" applyFont="1" applyFill="1" applyAlignment="1" applyProtection="1">
      <alignment horizontal="right"/>
    </xf>
    <xf numFmtId="0" fontId="29" fillId="0" borderId="0" xfId="1962" applyFont="1" applyFill="1" applyBorder="1"/>
    <xf numFmtId="0" fontId="29" fillId="0" borderId="0" xfId="1962" applyFont="1" applyBorder="1"/>
    <xf numFmtId="41" fontId="29" fillId="0" borderId="0" xfId="1962" applyNumberFormat="1" applyFont="1" applyFill="1" applyBorder="1"/>
    <xf numFmtId="209" fontId="29" fillId="0" borderId="0" xfId="1962" applyNumberFormat="1" applyFont="1" applyBorder="1"/>
    <xf numFmtId="0" fontId="5" fillId="0" borderId="94" xfId="37887" quotePrefix="1" applyNumberFormat="1" applyFont="1" applyFill="1" applyBorder="1" applyAlignment="1">
      <alignment vertical="center"/>
    </xf>
    <xf numFmtId="0" fontId="29" fillId="0" borderId="94" xfId="1962" applyFont="1" applyFill="1" applyBorder="1"/>
    <xf numFmtId="0" fontId="6" fillId="0" borderId="0" xfId="4" applyFont="1" applyAlignment="1">
      <alignment horizontal="center"/>
    </xf>
    <xf numFmtId="0" fontId="6" fillId="0" borderId="0" xfId="4" applyFont="1" applyFill="1" applyAlignment="1" applyProtection="1">
      <alignment horizontal="center"/>
    </xf>
    <xf numFmtId="0" fontId="6" fillId="0" borderId="0" xfId="4" quotePrefix="1" applyFont="1" applyFill="1" applyAlignment="1">
      <alignment horizontal="center"/>
    </xf>
    <xf numFmtId="0" fontId="6" fillId="0" borderId="0" xfId="4" applyFont="1" applyAlignment="1">
      <alignment horizontal="center"/>
    </xf>
    <xf numFmtId="0" fontId="5" fillId="0" borderId="3" xfId="4" applyFont="1" applyBorder="1" applyAlignment="1">
      <alignment horizontal="center"/>
    </xf>
    <xf numFmtId="0" fontId="6" fillId="0" borderId="3" xfId="4" applyFont="1" applyBorder="1" applyAlignment="1">
      <alignment horizontal="center"/>
    </xf>
    <xf numFmtId="0" fontId="6" fillId="0" borderId="121" xfId="4" applyFont="1" applyBorder="1"/>
    <xf numFmtId="0" fontId="6" fillId="0" borderId="4" xfId="4" applyFont="1" applyBorder="1" applyAlignment="1">
      <alignment horizontal="left"/>
    </xf>
    <xf numFmtId="0" fontId="6" fillId="0" borderId="106" xfId="4" applyFont="1" applyBorder="1" applyAlignment="1">
      <alignment horizontal="center"/>
    </xf>
    <xf numFmtId="10" fontId="6" fillId="0" borderId="3" xfId="61" applyNumberFormat="1" applyFont="1" applyBorder="1" applyAlignment="1">
      <alignment horizontal="center"/>
    </xf>
    <xf numFmtId="41" fontId="5" fillId="0" borderId="3" xfId="21" applyNumberFormat="1" applyFont="1" applyBorder="1" applyAlignment="1">
      <alignment horizontal="center"/>
    </xf>
    <xf numFmtId="43" fontId="6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left"/>
    </xf>
    <xf numFmtId="41" fontId="6" fillId="0" borderId="3" xfId="21" applyNumberFormat="1" applyFont="1" applyFill="1" applyBorder="1" applyAlignment="1">
      <alignment horizontal="left"/>
    </xf>
    <xf numFmtId="41" fontId="5" fillId="0" borderId="3" xfId="21" applyNumberFormat="1" applyFont="1" applyFill="1" applyBorder="1" applyAlignment="1">
      <alignment horizontal="center"/>
    </xf>
    <xf numFmtId="41" fontId="5" fillId="0" borderId="0" xfId="21" applyNumberFormat="1" applyFont="1" applyFill="1" applyBorder="1" applyAlignment="1">
      <alignment horizontal="center"/>
    </xf>
    <xf numFmtId="41" fontId="6" fillId="0" borderId="3" xfId="21" applyNumberFormat="1" applyFont="1" applyFill="1" applyBorder="1" applyAlignment="1">
      <alignment horizontal="center"/>
    </xf>
    <xf numFmtId="0" fontId="6" fillId="0" borderId="107" xfId="4" applyFont="1" applyBorder="1"/>
    <xf numFmtId="43" fontId="5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center"/>
    </xf>
    <xf numFmtId="41" fontId="6" fillId="0" borderId="3" xfId="21" applyNumberFormat="1" applyFont="1" applyFill="1" applyBorder="1"/>
    <xf numFmtId="166" fontId="6" fillId="0" borderId="3" xfId="22" applyNumberFormat="1" applyFont="1" applyFill="1" applyBorder="1"/>
    <xf numFmtId="0" fontId="6" fillId="0" borderId="107" xfId="4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4" applyFont="1" applyAlignment="1">
      <alignment horizontal="left"/>
    </xf>
    <xf numFmtId="0" fontId="5" fillId="0" borderId="0" xfId="37037" applyFont="1" applyAlignment="1">
      <alignment horizontal="center"/>
    </xf>
    <xf numFmtId="0" fontId="5" fillId="0" borderId="0" xfId="37037" applyFont="1"/>
    <xf numFmtId="0" fontId="27" fillId="0" borderId="0" xfId="0" applyFont="1" applyAlignment="1">
      <alignment horizontal="center" vertical="center"/>
    </xf>
    <xf numFmtId="6" fontId="6" fillId="0" borderId="0" xfId="4" applyNumberFormat="1" applyFont="1"/>
    <xf numFmtId="0" fontId="5" fillId="0" borderId="0" xfId="37925" applyFont="1"/>
    <xf numFmtId="10" fontId="6" fillId="0" borderId="0" xfId="3853" applyNumberFormat="1" applyFont="1"/>
    <xf numFmtId="165" fontId="6" fillId="0" borderId="0" xfId="2" applyNumberFormat="1" applyFont="1" applyFill="1" applyBorder="1"/>
    <xf numFmtId="0" fontId="5" fillId="0" borderId="0" xfId="4" applyFont="1" applyAlignment="1">
      <alignment horizont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horizontal="centerContinuous" vertical="center"/>
    </xf>
    <xf numFmtId="166" fontId="6" fillId="0" borderId="0" xfId="2408" applyNumberFormat="1" applyFont="1" applyAlignment="1">
      <alignment horizontal="centerContinuous" vertical="center"/>
    </xf>
    <xf numFmtId="0" fontId="6" fillId="0" borderId="0" xfId="2408" applyNumberFormat="1" applyFont="1" applyAlignment="1">
      <alignment horizontal="centerContinuous" vertical="center"/>
    </xf>
    <xf numFmtId="0" fontId="6" fillId="0" borderId="0" xfId="4" applyNumberFormat="1" applyFont="1" applyAlignment="1">
      <alignment horizontal="centerContinuous" vertical="center"/>
    </xf>
    <xf numFmtId="166" fontId="6" fillId="0" borderId="0" xfId="2408" applyNumberFormat="1" applyFont="1" applyAlignment="1">
      <alignment vertical="center"/>
    </xf>
    <xf numFmtId="0" fontId="6" fillId="0" borderId="0" xfId="2408" applyNumberFormat="1" applyFont="1" applyAlignment="1">
      <alignment vertical="center"/>
    </xf>
    <xf numFmtId="0" fontId="6" fillId="0" borderId="0" xfId="4" applyNumberFormat="1" applyFont="1" applyAlignment="1">
      <alignment vertical="center"/>
    </xf>
    <xf numFmtId="0" fontId="6" fillId="0" borderId="123" xfId="4" applyFont="1" applyBorder="1" applyAlignment="1">
      <alignment vertical="center"/>
    </xf>
    <xf numFmtId="0" fontId="6" fillId="0" borderId="121" xfId="4" quotePrefix="1" applyFont="1" applyBorder="1" applyAlignment="1">
      <alignment horizontal="center" vertical="center"/>
    </xf>
    <xf numFmtId="0" fontId="6" fillId="0" borderId="123" xfId="4" quotePrefix="1" applyNumberFormat="1" applyFont="1" applyBorder="1" applyAlignment="1">
      <alignment horizontal="center" vertical="center"/>
    </xf>
    <xf numFmtId="0" fontId="6" fillId="0" borderId="94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94" xfId="4" applyNumberFormat="1" applyFont="1" applyBorder="1" applyAlignment="1">
      <alignment horizontal="center" vertical="center"/>
    </xf>
    <xf numFmtId="0" fontId="6" fillId="0" borderId="4" xfId="4" quotePrefix="1" applyFont="1" applyBorder="1" applyAlignment="1">
      <alignment horizontal="center" vertical="center"/>
    </xf>
    <xf numFmtId="0" fontId="6" fillId="0" borderId="94" xfId="4" applyNumberFormat="1" applyFont="1" applyBorder="1" applyAlignment="1">
      <alignment horizontal="centerContinuous" vertical="center"/>
    </xf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horizontal="centerContinuous" vertical="center"/>
    </xf>
    <xf numFmtId="0" fontId="6" fillId="0" borderId="94" xfId="4" applyFont="1" applyBorder="1" applyAlignment="1">
      <alignment horizontal="left" vertical="center"/>
    </xf>
    <xf numFmtId="0" fontId="6" fillId="0" borderId="4" xfId="4" applyFont="1" applyBorder="1" applyAlignment="1">
      <alignment horizontal="center" vertical="center"/>
    </xf>
    <xf numFmtId="0" fontId="6" fillId="0" borderId="105" xfId="4" applyFont="1" applyBorder="1" applyAlignment="1">
      <alignment horizontal="center" vertical="center"/>
    </xf>
    <xf numFmtId="0" fontId="6" fillId="0" borderId="126" xfId="4" applyFont="1" applyBorder="1" applyAlignment="1">
      <alignment horizontal="center" vertical="center"/>
    </xf>
    <xf numFmtId="0" fontId="6" fillId="0" borderId="105" xfId="4" applyNumberFormat="1" applyFont="1" applyBorder="1" applyAlignment="1">
      <alignment horizontal="center" vertical="center"/>
    </xf>
    <xf numFmtId="0" fontId="6" fillId="0" borderId="109" xfId="4" applyFont="1" applyBorder="1" applyAlignment="1">
      <alignment horizontal="center" vertical="center"/>
    </xf>
    <xf numFmtId="17" fontId="5" fillId="0" borderId="94" xfId="4" applyNumberFormat="1" applyFont="1" applyBorder="1" applyAlignment="1">
      <alignment horizontal="left" vertical="center"/>
    </xf>
    <xf numFmtId="165" fontId="5" fillId="0" borderId="4" xfId="21" applyNumberFormat="1" applyFont="1" applyBorder="1" applyAlignment="1">
      <alignment vertical="center"/>
    </xf>
    <xf numFmtId="0" fontId="5" fillId="0" borderId="94" xfId="4" applyNumberFormat="1" applyFont="1" applyFill="1" applyBorder="1" applyAlignment="1">
      <alignment horizontal="centerContinuous" vertical="center"/>
    </xf>
    <xf numFmtId="165" fontId="5" fillId="0" borderId="4" xfId="21" applyNumberFormat="1" applyFont="1" applyBorder="1" applyAlignment="1">
      <alignment horizontal="center" vertical="center"/>
    </xf>
    <xf numFmtId="0" fontId="8" fillId="0" borderId="0" xfId="4" applyFont="1" applyFill="1" applyAlignment="1">
      <alignment vertical="center"/>
    </xf>
    <xf numFmtId="0" fontId="8" fillId="0" borderId="0" xfId="4" applyFont="1" applyAlignment="1">
      <alignment vertical="center"/>
    </xf>
    <xf numFmtId="166" fontId="5" fillId="0" borderId="4" xfId="4" applyNumberFormat="1" applyFont="1" applyBorder="1" applyAlignment="1">
      <alignment vertical="center"/>
    </xf>
    <xf numFmtId="0" fontId="157" fillId="0" borderId="94" xfId="4" applyNumberFormat="1" applyFont="1" applyFill="1" applyBorder="1" applyAlignment="1">
      <alignment horizontal="centerContinuous" vertical="center"/>
    </xf>
    <xf numFmtId="166" fontId="5" fillId="0" borderId="4" xfId="2408" applyNumberFormat="1" applyFont="1" applyBorder="1" applyAlignment="1">
      <alignment horizontal="center" vertical="center"/>
    </xf>
    <xf numFmtId="0" fontId="157" fillId="0" borderId="94" xfId="4" applyNumberFormat="1" applyFont="1" applyBorder="1" applyAlignment="1">
      <alignment horizontal="centerContinuous" vertical="center"/>
    </xf>
    <xf numFmtId="0" fontId="6" fillId="0" borderId="0" xfId="4" applyFont="1" applyFill="1" applyAlignment="1">
      <alignment vertical="center"/>
    </xf>
    <xf numFmtId="0" fontId="6" fillId="0" borderId="0" xfId="4" applyFont="1" applyBorder="1" applyAlignment="1">
      <alignment vertical="center"/>
    </xf>
    <xf numFmtId="17" fontId="5" fillId="0" borderId="105" xfId="4" applyNumberFormat="1" applyFont="1" applyBorder="1" applyAlignment="1">
      <alignment horizontal="left" vertical="center"/>
    </xf>
    <xf numFmtId="166" fontId="5" fillId="0" borderId="109" xfId="4" applyNumberFormat="1" applyFont="1" applyFill="1" applyBorder="1" applyAlignment="1">
      <alignment vertical="center"/>
    </xf>
    <xf numFmtId="0" fontId="6" fillId="0" borderId="94" xfId="4" applyFont="1" applyBorder="1" applyAlignment="1">
      <alignment vertical="center"/>
    </xf>
    <xf numFmtId="0" fontId="6" fillId="0" borderId="121" xfId="4" applyFont="1" applyBorder="1" applyAlignment="1">
      <alignment vertical="center"/>
    </xf>
    <xf numFmtId="0" fontId="6" fillId="0" borderId="123" xfId="4" applyNumberFormat="1" applyFont="1" applyFill="1" applyBorder="1" applyAlignment="1">
      <alignment vertical="center"/>
    </xf>
    <xf numFmtId="0" fontId="6" fillId="0" borderId="4" xfId="4" applyFont="1" applyBorder="1" applyAlignment="1">
      <alignment vertical="center"/>
    </xf>
    <xf numFmtId="0" fontId="6" fillId="0" borderId="123" xfId="4" applyNumberFormat="1" applyFont="1" applyBorder="1" applyAlignment="1">
      <alignment vertical="center"/>
    </xf>
    <xf numFmtId="165" fontId="6" fillId="0" borderId="4" xfId="21" applyNumberFormat="1" applyFont="1" applyBorder="1" applyAlignment="1">
      <alignment vertical="center"/>
    </xf>
    <xf numFmtId="0" fontId="5" fillId="0" borderId="94" xfId="4" applyNumberFormat="1" applyFont="1" applyFill="1" applyBorder="1" applyAlignment="1">
      <alignment vertical="center"/>
    </xf>
    <xf numFmtId="0" fontId="6" fillId="0" borderId="105" xfId="4" applyFont="1" applyBorder="1" applyAlignment="1">
      <alignment vertical="center"/>
    </xf>
    <xf numFmtId="165" fontId="6" fillId="0" borderId="109" xfId="21" applyNumberFormat="1" applyFont="1" applyBorder="1" applyAlignment="1">
      <alignment vertical="center"/>
    </xf>
    <xf numFmtId="0" fontId="6" fillId="0" borderId="105" xfId="4" applyNumberFormat="1" applyFont="1" applyFill="1" applyBorder="1" applyAlignment="1">
      <alignment vertical="center"/>
    </xf>
    <xf numFmtId="0" fontId="6" fillId="0" borderId="105" xfId="4" applyNumberFormat="1" applyFont="1" applyBorder="1" applyAlignment="1">
      <alignment vertical="center"/>
    </xf>
    <xf numFmtId="0" fontId="6" fillId="0" borderId="94" xfId="4" applyNumberFormat="1" applyFont="1" applyFill="1" applyBorder="1" applyAlignment="1">
      <alignment vertical="center"/>
    </xf>
    <xf numFmtId="0" fontId="6" fillId="0" borderId="94" xfId="4" applyNumberFormat="1" applyFont="1" applyBorder="1" applyAlignment="1">
      <alignment vertical="center"/>
    </xf>
    <xf numFmtId="37" fontId="6" fillId="0" borderId="109" xfId="4" applyNumberFormat="1" applyFont="1" applyBorder="1" applyAlignment="1">
      <alignment vertical="center"/>
    </xf>
    <xf numFmtId="37" fontId="6" fillId="0" borderId="0" xfId="4" applyNumberFormat="1" applyFont="1" applyBorder="1" applyAlignment="1">
      <alignment vertical="center"/>
    </xf>
    <xf numFmtId="0" fontId="6" fillId="0" borderId="0" xfId="4" applyNumberFormat="1" applyFont="1" applyBorder="1" applyAlignment="1">
      <alignment vertical="center"/>
    </xf>
    <xf numFmtId="37" fontId="6" fillId="0" borderId="0" xfId="4" applyNumberFormat="1" applyFont="1" applyAlignment="1">
      <alignment vertical="center"/>
    </xf>
    <xf numFmtId="0" fontId="11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37" fontId="6" fillId="0" borderId="0" xfId="2408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8" fontId="6" fillId="0" borderId="0" xfId="4" applyNumberFormat="1" applyFont="1" applyAlignment="1">
      <alignment vertical="center"/>
    </xf>
    <xf numFmtId="0" fontId="5" fillId="0" borderId="0" xfId="4" applyFont="1" applyAlignment="1">
      <alignment horizontal="left" vertical="center"/>
    </xf>
    <xf numFmtId="165" fontId="5" fillId="0" borderId="4" xfId="2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0" fontId="5" fillId="0" borderId="105" xfId="4" applyNumberFormat="1" applyFont="1" applyFill="1" applyBorder="1" applyAlignment="1">
      <alignment horizontal="centerContinuous" vertical="center"/>
    </xf>
    <xf numFmtId="166" fontId="6" fillId="0" borderId="121" xfId="4" applyNumberFormat="1" applyFont="1" applyBorder="1" applyAlignment="1">
      <alignment vertical="center"/>
    </xf>
    <xf numFmtId="166" fontId="6" fillId="0" borderId="4" xfId="4" applyNumberFormat="1" applyFont="1" applyBorder="1" applyAlignment="1">
      <alignment vertical="center"/>
    </xf>
    <xf numFmtId="165" fontId="6" fillId="0" borderId="4" xfId="2" applyNumberFormat="1" applyFont="1" applyBorder="1" applyAlignment="1">
      <alignment vertical="center"/>
    </xf>
    <xf numFmtId="166" fontId="6" fillId="0" borderId="109" xfId="4" applyNumberFormat="1" applyFont="1" applyBorder="1" applyAlignment="1">
      <alignment vertical="center"/>
    </xf>
    <xf numFmtId="166" fontId="5" fillId="0" borderId="0" xfId="4" applyNumberFormat="1" applyFont="1" applyAlignment="1">
      <alignment vertical="center"/>
    </xf>
    <xf numFmtId="0" fontId="5" fillId="0" borderId="0" xfId="4" applyNumberFormat="1" applyFont="1" applyAlignment="1">
      <alignment vertical="center"/>
    </xf>
    <xf numFmtId="168" fontId="5" fillId="0" borderId="0" xfId="4" applyNumberFormat="1" applyFont="1" applyAlignment="1">
      <alignment vertical="center"/>
    </xf>
    <xf numFmtId="168" fontId="6" fillId="0" borderId="0" xfId="2408" applyNumberFormat="1" applyFont="1" applyAlignment="1">
      <alignment vertical="center"/>
    </xf>
    <xf numFmtId="166" fontId="5" fillId="0" borderId="105" xfId="1" applyNumberFormat="1" applyFont="1" applyBorder="1" applyAlignment="1">
      <alignment vertical="center"/>
    </xf>
    <xf numFmtId="0" fontId="6" fillId="0" borderId="123" xfId="4" quotePrefix="1" applyFont="1" applyBorder="1" applyAlignment="1">
      <alignment horizontal="center" vertical="center"/>
    </xf>
    <xf numFmtId="0" fontId="5" fillId="0" borderId="109" xfId="4" applyFont="1" applyBorder="1" applyAlignment="1">
      <alignment horizontal="center" vertical="center"/>
    </xf>
    <xf numFmtId="168" fontId="6" fillId="0" borderId="0" xfId="4" applyNumberFormat="1" applyFont="1" applyFill="1" applyAlignment="1">
      <alignment vertical="center"/>
    </xf>
    <xf numFmtId="166" fontId="6" fillId="0" borderId="94" xfId="4" applyNumberFormat="1" applyFont="1" applyFill="1" applyBorder="1" applyAlignment="1">
      <alignment vertical="center"/>
    </xf>
    <xf numFmtId="168" fontId="6" fillId="0" borderId="123" xfId="4" applyNumberFormat="1" applyFont="1" applyFill="1" applyBorder="1" applyAlignment="1">
      <alignment vertical="center"/>
    </xf>
    <xf numFmtId="166" fontId="5" fillId="0" borderId="94" xfId="4" applyNumberFormat="1" applyFont="1" applyFill="1" applyBorder="1" applyAlignment="1">
      <alignment vertical="center"/>
    </xf>
    <xf numFmtId="166" fontId="5" fillId="0" borderId="105" xfId="4" applyNumberFormat="1" applyFont="1" applyFill="1" applyBorder="1" applyAlignment="1">
      <alignment vertical="center"/>
    </xf>
    <xf numFmtId="168" fontId="6" fillId="0" borderId="105" xfId="4" applyNumberFormat="1" applyFont="1" applyFill="1" applyBorder="1" applyAlignment="1">
      <alignment vertical="center"/>
    </xf>
    <xf numFmtId="168" fontId="6" fillId="0" borderId="94" xfId="4" applyNumberFormat="1" applyFont="1" applyFill="1" applyBorder="1" applyAlignment="1">
      <alignment vertical="center"/>
    </xf>
    <xf numFmtId="165" fontId="6" fillId="0" borderId="4" xfId="2" applyNumberFormat="1" applyFont="1" applyFill="1" applyBorder="1" applyAlignment="1">
      <alignment vertical="center"/>
    </xf>
    <xf numFmtId="166" fontId="6" fillId="0" borderId="105" xfId="4" applyNumberFormat="1" applyFont="1" applyBorder="1" applyAlignment="1">
      <alignment vertical="center"/>
    </xf>
    <xf numFmtId="0" fontId="6" fillId="0" borderId="0" xfId="2408" applyNumberFormat="1" applyFont="1" applyFill="1" applyAlignment="1">
      <alignment horizontal="centerContinuous" vertical="center"/>
    </xf>
    <xf numFmtId="0" fontId="6" fillId="0" borderId="0" xfId="2408" applyNumberFormat="1" applyFont="1" applyFill="1" applyAlignment="1">
      <alignment vertical="center"/>
    </xf>
    <xf numFmtId="0" fontId="6" fillId="0" borderId="123" xfId="4" quotePrefix="1" applyNumberFormat="1" applyFont="1" applyFill="1" applyBorder="1" applyAlignment="1">
      <alignment horizontal="center" vertical="center"/>
    </xf>
    <xf numFmtId="0" fontId="6" fillId="0" borderId="94" xfId="4" applyNumberFormat="1" applyFont="1" applyFill="1" applyBorder="1" applyAlignment="1">
      <alignment horizontal="center" vertical="center"/>
    </xf>
    <xf numFmtId="0" fontId="5" fillId="0" borderId="105" xfId="4" applyNumberFormat="1" applyFont="1" applyFill="1" applyBorder="1" applyAlignment="1">
      <alignment vertical="center"/>
    </xf>
    <xf numFmtId="0" fontId="5" fillId="0" borderId="0" xfId="4" applyNumberFormat="1" applyFont="1" applyFill="1" applyAlignment="1">
      <alignment vertical="center"/>
    </xf>
    <xf numFmtId="44" fontId="3" fillId="0" borderId="0" xfId="2" applyFont="1" applyAlignment="1">
      <alignment vertical="center"/>
    </xf>
    <xf numFmtId="166" fontId="6" fillId="0" borderId="0" xfId="4" applyNumberFormat="1" applyFont="1" applyAlignment="1">
      <alignment vertical="center"/>
    </xf>
    <xf numFmtId="166" fontId="6" fillId="0" borderId="0" xfId="4" applyNumberFormat="1" applyFont="1" applyBorder="1" applyAlignment="1">
      <alignment vertical="center"/>
    </xf>
    <xf numFmtId="166" fontId="5" fillId="0" borderId="105" xfId="4" applyNumberFormat="1" applyFont="1" applyBorder="1" applyAlignment="1">
      <alignment vertical="center"/>
    </xf>
    <xf numFmtId="0" fontId="5" fillId="0" borderId="0" xfId="4" applyFont="1" applyBorder="1" applyAlignment="1">
      <alignment horizontal="center" vertical="center"/>
    </xf>
    <xf numFmtId="0" fontId="5" fillId="0" borderId="0" xfId="4" applyFont="1" applyBorder="1" applyAlignment="1">
      <alignment vertical="center"/>
    </xf>
    <xf numFmtId="0" fontId="6" fillId="0" borderId="94" xfId="4" applyFont="1" applyBorder="1" applyAlignment="1">
      <alignment horizontal="right" vertical="center"/>
    </xf>
    <xf numFmtId="0" fontId="6" fillId="0" borderId="121" xfId="4" applyFont="1" applyBorder="1" applyAlignment="1">
      <alignment horizontal="center" vertical="center"/>
    </xf>
    <xf numFmtId="3" fontId="5" fillId="0" borderId="94" xfId="4" applyNumberFormat="1" applyFont="1" applyFill="1" applyBorder="1" applyAlignment="1">
      <alignment horizontal="centerContinuous" vertical="center"/>
    </xf>
    <xf numFmtId="166" fontId="5" fillId="0" borderId="4" xfId="4" applyNumberFormat="1" applyFont="1" applyFill="1" applyBorder="1" applyAlignment="1">
      <alignment vertical="center"/>
    </xf>
    <xf numFmtId="17" fontId="6" fillId="0" borderId="105" xfId="4" applyNumberFormat="1" applyFont="1" applyBorder="1" applyAlignment="1">
      <alignment horizontal="left" vertical="center"/>
    </xf>
    <xf numFmtId="166" fontId="6" fillId="0" borderId="109" xfId="4" applyNumberFormat="1" applyFont="1" applyFill="1" applyBorder="1" applyAlignment="1">
      <alignment vertical="center"/>
    </xf>
    <xf numFmtId="3" fontId="6" fillId="0" borderId="105" xfId="4" applyNumberFormat="1" applyFont="1" applyBorder="1" applyAlignment="1">
      <alignment horizontal="centerContinuous" vertical="center"/>
    </xf>
    <xf numFmtId="0" fontId="5" fillId="0" borderId="94" xfId="4" applyFont="1" applyBorder="1" applyAlignment="1">
      <alignment horizontal="center" vertical="center"/>
    </xf>
    <xf numFmtId="166" fontId="6" fillId="0" borderId="105" xfId="2408" applyNumberFormat="1" applyFont="1" applyBorder="1" applyAlignment="1">
      <alignment vertical="center"/>
    </xf>
    <xf numFmtId="3" fontId="6" fillId="0" borderId="105" xfId="4" applyNumberFormat="1" applyFont="1" applyBorder="1" applyAlignment="1">
      <alignment vertical="center"/>
    </xf>
    <xf numFmtId="37" fontId="5" fillId="0" borderId="0" xfId="4" applyNumberFormat="1" applyFont="1" applyAlignment="1">
      <alignment vertical="center"/>
    </xf>
    <xf numFmtId="0" fontId="6" fillId="0" borderId="0" xfId="4" quotePrefix="1" applyFont="1" applyAlignment="1">
      <alignment horizontal="center" vertical="center"/>
    </xf>
    <xf numFmtId="3" fontId="157" fillId="0" borderId="94" xfId="4" applyNumberFormat="1" applyFont="1" applyFill="1" applyBorder="1" applyAlignment="1">
      <alignment horizontal="centerContinuous" vertical="center"/>
    </xf>
    <xf numFmtId="3" fontId="5" fillId="0" borderId="105" xfId="4" applyNumberFormat="1" applyFont="1" applyFill="1" applyBorder="1" applyAlignment="1">
      <alignment horizontal="centerContinuous" vertical="center"/>
    </xf>
    <xf numFmtId="0" fontId="5" fillId="0" borderId="123" xfId="4" applyFont="1" applyFill="1" applyBorder="1" applyAlignment="1">
      <alignment vertical="center"/>
    </xf>
    <xf numFmtId="3" fontId="5" fillId="0" borderId="94" xfId="4" applyNumberFormat="1" applyFont="1" applyFill="1" applyBorder="1" applyAlignment="1">
      <alignment vertical="center"/>
    </xf>
    <xf numFmtId="3" fontId="5" fillId="0" borderId="105" xfId="4" applyNumberFormat="1" applyFont="1" applyFill="1" applyBorder="1" applyAlignment="1">
      <alignment vertical="center"/>
    </xf>
    <xf numFmtId="3" fontId="5" fillId="0" borderId="105" xfId="4" applyNumberFormat="1" applyFont="1" applyBorder="1" applyAlignment="1">
      <alignment vertical="center"/>
    </xf>
    <xf numFmtId="37" fontId="6" fillId="0" borderId="105" xfId="4" applyNumberFormat="1" applyFont="1" applyBorder="1" applyAlignment="1">
      <alignment vertical="center"/>
    </xf>
    <xf numFmtId="0" fontId="5" fillId="0" borderId="0" xfId="4" quotePrefix="1" applyFont="1" applyAlignment="1">
      <alignment horizontal="left" vertical="center"/>
    </xf>
    <xf numFmtId="165" fontId="5" fillId="0" borderId="0" xfId="4" applyNumberFormat="1" applyFont="1" applyAlignment="1">
      <alignment vertical="center"/>
    </xf>
    <xf numFmtId="43" fontId="5" fillId="0" borderId="0" xfId="1" applyFont="1" applyAlignment="1">
      <alignment vertical="center"/>
    </xf>
    <xf numFmtId="166" fontId="5" fillId="0" borderId="0" xfId="1" applyNumberFormat="1" applyFont="1" applyAlignment="1">
      <alignment vertical="center"/>
    </xf>
    <xf numFmtId="166" fontId="5" fillId="0" borderId="105" xfId="2408" applyNumberFormat="1" applyFont="1" applyBorder="1" applyAlignment="1">
      <alignment horizontal="center" vertical="center"/>
    </xf>
    <xf numFmtId="0" fontId="5" fillId="0" borderId="0" xfId="4" applyFont="1" applyFill="1" applyAlignment="1">
      <alignment horizontal="center" vertical="center"/>
    </xf>
    <xf numFmtId="166" fontId="5" fillId="0" borderId="0" xfId="2408" applyNumberFormat="1" applyFont="1" applyAlignment="1">
      <alignment horizontal="centerContinuous" vertical="center"/>
    </xf>
    <xf numFmtId="0" fontId="6" fillId="0" borderId="123" xfId="4" applyFont="1" applyBorder="1" applyAlignment="1">
      <alignment horizontal="center" vertical="center"/>
    </xf>
    <xf numFmtId="166" fontId="6" fillId="0" borderId="123" xfId="2408" quotePrefix="1" applyNumberFormat="1" applyFont="1" applyFill="1" applyBorder="1" applyAlignment="1">
      <alignment horizontal="center" vertical="center"/>
    </xf>
    <xf numFmtId="166" fontId="6" fillId="0" borderId="123" xfId="2408" quotePrefix="1" applyNumberFormat="1" applyFont="1" applyBorder="1" applyAlignment="1">
      <alignment horizontal="center" vertical="center"/>
    </xf>
    <xf numFmtId="0" fontId="6" fillId="0" borderId="94" xfId="4" quotePrefix="1" applyFont="1" applyBorder="1" applyAlignment="1">
      <alignment horizontal="center" vertical="center"/>
    </xf>
    <xf numFmtId="0" fontId="6" fillId="0" borderId="94" xfId="4" applyFont="1" applyBorder="1" applyAlignment="1">
      <alignment horizontal="centerContinuous" vertical="center"/>
    </xf>
    <xf numFmtId="166" fontId="6" fillId="0" borderId="94" xfId="2408" applyNumberFormat="1" applyFont="1" applyFill="1" applyBorder="1" applyAlignment="1">
      <alignment horizontal="center" vertical="center"/>
    </xf>
    <xf numFmtId="166" fontId="6" fillId="0" borderId="94" xfId="2408" applyNumberFormat="1" applyFont="1" applyBorder="1" applyAlignment="1">
      <alignment horizontal="center" vertical="center"/>
    </xf>
    <xf numFmtId="166" fontId="6" fillId="0" borderId="3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horizontal="center" vertical="center"/>
    </xf>
    <xf numFmtId="0" fontId="5" fillId="0" borderId="94" xfId="4" applyFont="1" applyBorder="1" applyAlignment="1">
      <alignment vertical="center"/>
    </xf>
    <xf numFmtId="0" fontId="6" fillId="0" borderId="3" xfId="4" applyFont="1" applyBorder="1" applyAlignment="1">
      <alignment horizontal="center" vertical="center"/>
    </xf>
    <xf numFmtId="166" fontId="6" fillId="0" borderId="4" xfId="2408" applyNumberFormat="1" applyFont="1" applyFill="1" applyBorder="1" applyAlignment="1">
      <alignment horizontal="center" vertical="center"/>
    </xf>
    <xf numFmtId="166" fontId="6" fillId="0" borderId="0" xfId="2408" applyNumberFormat="1" applyFont="1" applyAlignment="1">
      <alignment horizontal="center" vertical="center"/>
    </xf>
    <xf numFmtId="166" fontId="6" fillId="0" borderId="105" xfId="2408" applyNumberFormat="1" applyFont="1" applyFill="1" applyBorder="1" applyAlignment="1">
      <alignment horizontal="center" vertical="center"/>
    </xf>
    <xf numFmtId="166" fontId="6" fillId="0" borderId="105" xfId="2408" applyNumberFormat="1" applyFont="1" applyBorder="1" applyAlignment="1">
      <alignment horizontal="center" vertical="center"/>
    </xf>
    <xf numFmtId="166" fontId="6" fillId="0" borderId="126" xfId="2408" applyNumberFormat="1" applyFont="1" applyBorder="1" applyAlignment="1">
      <alignment horizontal="center" vertical="center"/>
    </xf>
    <xf numFmtId="0" fontId="5" fillId="0" borderId="94" xfId="4" applyFont="1" applyFill="1" applyBorder="1" applyAlignment="1">
      <alignment vertical="center"/>
    </xf>
    <xf numFmtId="0" fontId="5" fillId="0" borderId="4" xfId="4" applyFont="1" applyBorder="1" applyAlignment="1">
      <alignment vertical="center"/>
    </xf>
    <xf numFmtId="169" fontId="5" fillId="0" borderId="94" xfId="4" applyNumberFormat="1" applyFont="1" applyBorder="1" applyAlignment="1">
      <alignment horizontal="center" vertical="center"/>
    </xf>
    <xf numFmtId="49" fontId="27" fillId="0" borderId="0" xfId="0" applyNumberFormat="1" applyFont="1" applyAlignment="1">
      <alignment vertical="center"/>
    </xf>
    <xf numFmtId="165" fontId="5" fillId="0" borderId="94" xfId="2" applyNumberFormat="1" applyFont="1" applyFill="1" applyBorder="1" applyAlignment="1">
      <alignment vertical="center"/>
    </xf>
    <xf numFmtId="165" fontId="5" fillId="0" borderId="94" xfId="2" applyNumberFormat="1" applyFont="1" applyBorder="1" applyAlignment="1">
      <alignment vertical="center"/>
    </xf>
    <xf numFmtId="166" fontId="5" fillId="0" borderId="94" xfId="1" applyNumberFormat="1" applyFont="1" applyFill="1" applyBorder="1" applyAlignment="1">
      <alignment vertical="center"/>
    </xf>
    <xf numFmtId="166" fontId="5" fillId="0" borderId="94" xfId="1" applyNumberFormat="1" applyFont="1" applyBorder="1" applyAlignment="1">
      <alignment vertical="center"/>
    </xf>
    <xf numFmtId="166" fontId="5" fillId="0" borderId="4" xfId="2408" applyNumberFormat="1" applyFont="1" applyBorder="1" applyAlignment="1">
      <alignment vertical="center"/>
    </xf>
    <xf numFmtId="0" fontId="6" fillId="0" borderId="120" xfId="4" applyFont="1" applyBorder="1" applyAlignment="1">
      <alignment horizontal="center" vertical="center"/>
    </xf>
    <xf numFmtId="0" fontId="6" fillId="0" borderId="120" xfId="4" applyFont="1" applyBorder="1" applyAlignment="1">
      <alignment vertical="center"/>
    </xf>
    <xf numFmtId="165" fontId="6" fillId="0" borderId="120" xfId="2" applyNumberFormat="1" applyFont="1" applyFill="1" applyBorder="1" applyAlignment="1">
      <alignment vertical="center"/>
    </xf>
    <xf numFmtId="165" fontId="6" fillId="0" borderId="128" xfId="2" applyNumberFormat="1" applyFont="1" applyFill="1" applyBorder="1" applyAlignment="1">
      <alignment vertical="center"/>
    </xf>
    <xf numFmtId="0" fontId="5" fillId="0" borderId="120" xfId="4" applyFont="1" applyBorder="1" applyAlignment="1">
      <alignment horizontal="center" vertical="center"/>
    </xf>
    <xf numFmtId="166" fontId="5" fillId="0" borderId="94" xfId="2408" applyNumberFormat="1" applyFont="1" applyFill="1" applyBorder="1" applyAlignment="1">
      <alignment vertical="center"/>
    </xf>
    <xf numFmtId="166" fontId="5" fillId="0" borderId="94" xfId="2408" applyNumberFormat="1" applyFont="1" applyBorder="1" applyAlignment="1">
      <alignment vertical="center"/>
    </xf>
    <xf numFmtId="166" fontId="5" fillId="0" borderId="0" xfId="2408" applyNumberFormat="1" applyFont="1" applyBorder="1" applyAlignment="1">
      <alignment vertical="center"/>
    </xf>
    <xf numFmtId="165" fontId="27" fillId="0" borderId="94" xfId="2" applyNumberFormat="1" applyFont="1" applyFill="1" applyBorder="1" applyAlignment="1">
      <alignment vertical="center"/>
    </xf>
    <xf numFmtId="165" fontId="5" fillId="0" borderId="4" xfId="2" applyNumberFormat="1" applyFont="1" applyFill="1" applyBorder="1" applyAlignment="1">
      <alignment vertical="center"/>
    </xf>
    <xf numFmtId="166" fontId="27" fillId="0" borderId="94" xfId="1453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vertical="center"/>
    </xf>
    <xf numFmtId="166" fontId="5" fillId="0" borderId="0" xfId="2408" applyNumberFormat="1" applyFont="1" applyFill="1" applyBorder="1" applyAlignment="1">
      <alignment vertical="center"/>
    </xf>
    <xf numFmtId="166" fontId="5" fillId="0" borderId="0" xfId="2408" applyNumberFormat="1" applyFont="1" applyAlignment="1">
      <alignment vertical="center"/>
    </xf>
    <xf numFmtId="166" fontId="5" fillId="0" borderId="105" xfId="2408" applyNumberFormat="1" applyFont="1" applyBorder="1" applyAlignment="1">
      <alignment vertical="center"/>
    </xf>
    <xf numFmtId="166" fontId="5" fillId="0" borderId="109" xfId="2408" applyNumberFormat="1" applyFont="1" applyFill="1" applyBorder="1" applyAlignment="1">
      <alignment vertical="center"/>
    </xf>
    <xf numFmtId="169" fontId="6" fillId="0" borderId="120" xfId="4" applyNumberFormat="1" applyFont="1" applyBorder="1" applyAlignment="1">
      <alignment horizontal="center" vertical="center"/>
    </xf>
    <xf numFmtId="169" fontId="5" fillId="0" borderId="120" xfId="4" applyNumberFormat="1" applyFont="1" applyBorder="1" applyAlignment="1">
      <alignment horizontal="center" vertical="center"/>
    </xf>
    <xf numFmtId="0" fontId="5" fillId="0" borderId="0" xfId="4" applyFont="1" applyFill="1" applyAlignment="1">
      <alignment vertical="center"/>
    </xf>
    <xf numFmtId="0" fontId="5" fillId="0" borderId="128" xfId="4" applyFont="1" applyBorder="1" applyAlignment="1">
      <alignment horizontal="center" vertical="center"/>
    </xf>
    <xf numFmtId="0" fontId="6" fillId="0" borderId="122" xfId="4" applyFont="1" applyBorder="1" applyAlignment="1">
      <alignment horizontal="left" vertical="center"/>
    </xf>
    <xf numFmtId="0" fontId="6" fillId="0" borderId="124" xfId="4" applyFont="1" applyBorder="1" applyAlignment="1">
      <alignment horizontal="center" vertical="center"/>
    </xf>
    <xf numFmtId="165" fontId="6" fillId="0" borderId="120" xfId="21" applyNumberFormat="1" applyFont="1" applyFill="1" applyBorder="1" applyAlignment="1">
      <alignment horizontal="center" vertical="center"/>
    </xf>
    <xf numFmtId="165" fontId="6" fillId="0" borderId="120" xfId="2" applyNumberFormat="1" applyFont="1" applyFill="1" applyBorder="1" applyAlignment="1">
      <alignment horizontal="center" vertical="center"/>
    </xf>
    <xf numFmtId="169" fontId="5" fillId="0" borderId="94" xfId="4" applyNumberFormat="1" applyFont="1" applyBorder="1" applyAlignment="1">
      <alignment horizontal="center"/>
    </xf>
    <xf numFmtId="0" fontId="5" fillId="0" borderId="94" xfId="4" applyFont="1" applyBorder="1" applyAlignment="1">
      <alignment horizontal="center"/>
    </xf>
    <xf numFmtId="0" fontId="5" fillId="0" borderId="94" xfId="4" quotePrefix="1" applyFont="1" applyBorder="1" applyAlignment="1">
      <alignment horizontal="left"/>
    </xf>
    <xf numFmtId="0" fontId="9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166" fontId="5" fillId="0" borderId="105" xfId="1" applyNumberFormat="1" applyFont="1" applyBorder="1" applyAlignment="1">
      <alignment horizontal="center" vertical="center"/>
    </xf>
    <xf numFmtId="0" fontId="6" fillId="0" borderId="125" xfId="4" applyFont="1" applyBorder="1" applyAlignment="1">
      <alignment vertical="center"/>
    </xf>
    <xf numFmtId="0" fontId="6" fillId="0" borderId="123" xfId="4" applyFont="1" applyBorder="1" applyAlignment="1">
      <alignment horizontal="centerContinuous" vertical="center"/>
    </xf>
    <xf numFmtId="0" fontId="6" fillId="0" borderId="121" xfId="4" quotePrefix="1" applyFont="1" applyBorder="1" applyAlignment="1">
      <alignment vertical="center"/>
    </xf>
    <xf numFmtId="0" fontId="6" fillId="0" borderId="4" xfId="4" applyFont="1" applyBorder="1" applyAlignment="1">
      <alignment horizontal="centerContinuous" vertical="center"/>
    </xf>
    <xf numFmtId="0" fontId="6" fillId="0" borderId="106" xfId="4" applyFont="1" applyBorder="1" applyAlignment="1">
      <alignment horizontal="center" vertical="center"/>
    </xf>
    <xf numFmtId="0" fontId="6" fillId="0" borderId="3" xfId="4" applyFont="1" applyBorder="1" applyAlignment="1">
      <alignment horizontal="left" vertical="center"/>
    </xf>
    <xf numFmtId="3" fontId="6" fillId="0" borderId="94" xfId="4" applyNumberFormat="1" applyFont="1" applyFill="1" applyBorder="1" applyAlignment="1">
      <alignment horizontal="right" vertical="center"/>
    </xf>
    <xf numFmtId="3" fontId="6" fillId="0" borderId="4" xfId="4" applyNumberFormat="1" applyFont="1" applyFill="1" applyBorder="1" applyAlignment="1">
      <alignment vertical="center"/>
    </xf>
    <xf numFmtId="17" fontId="5" fillId="0" borderId="3" xfId="4" applyNumberFormat="1" applyFont="1" applyBorder="1" applyAlignment="1">
      <alignment horizontal="left" vertical="center"/>
    </xf>
    <xf numFmtId="165" fontId="5" fillId="0" borderId="94" xfId="21" applyNumberFormat="1" applyFont="1" applyFill="1" applyBorder="1" applyAlignment="1">
      <alignment vertical="center"/>
    </xf>
    <xf numFmtId="15" fontId="5" fillId="0" borderId="3" xfId="4" applyNumberFormat="1" applyFont="1" applyBorder="1" applyAlignment="1">
      <alignment vertical="center"/>
    </xf>
    <xf numFmtId="3" fontId="5" fillId="0" borderId="4" xfId="4" applyNumberFormat="1" applyFont="1" applyFill="1" applyBorder="1" applyAlignment="1">
      <alignment vertical="center"/>
    </xf>
    <xf numFmtId="0" fontId="6" fillId="0" borderId="3" xfId="4" applyFont="1" applyBorder="1" applyAlignment="1">
      <alignment vertical="center"/>
    </xf>
    <xf numFmtId="3" fontId="6" fillId="0" borderId="105" xfId="4" applyNumberFormat="1" applyFont="1" applyFill="1" applyBorder="1" applyAlignment="1">
      <alignment vertical="center"/>
    </xf>
    <xf numFmtId="3" fontId="6" fillId="0" borderId="109" xfId="4" applyNumberFormat="1" applyFont="1" applyFill="1" applyBorder="1" applyAlignment="1">
      <alignment vertical="center"/>
    </xf>
    <xf numFmtId="3" fontId="6" fillId="0" borderId="94" xfId="4" applyNumberFormat="1" applyFont="1" applyBorder="1" applyAlignment="1">
      <alignment horizontal="right" vertical="center"/>
    </xf>
    <xf numFmtId="3" fontId="6" fillId="0" borderId="4" xfId="4" applyNumberFormat="1" applyFont="1" applyBorder="1" applyAlignment="1">
      <alignment vertical="center"/>
    </xf>
    <xf numFmtId="165" fontId="6" fillId="0" borderId="94" xfId="21" applyNumberFormat="1" applyFont="1" applyBorder="1" applyAlignment="1">
      <alignment vertical="center"/>
    </xf>
    <xf numFmtId="3" fontId="5" fillId="0" borderId="4" xfId="4" applyNumberFormat="1" applyFont="1" applyBorder="1" applyAlignment="1">
      <alignment horizontal="center" vertical="center"/>
    </xf>
    <xf numFmtId="0" fontId="6" fillId="0" borderId="106" xfId="4" applyFont="1" applyBorder="1" applyAlignment="1">
      <alignment vertical="center"/>
    </xf>
    <xf numFmtId="165" fontId="6" fillId="0" borderId="105" xfId="21" applyNumberFormat="1" applyFont="1" applyBorder="1" applyAlignment="1">
      <alignment vertical="center"/>
    </xf>
    <xf numFmtId="0" fontId="5" fillId="0" borderId="0" xfId="4" applyFont="1" applyAlignment="1">
      <alignment horizontal="right" vertical="center"/>
    </xf>
    <xf numFmtId="0" fontId="6" fillId="0" borderId="123" xfId="4" quotePrefix="1" applyFont="1" applyBorder="1" applyAlignment="1">
      <alignment vertical="center"/>
    </xf>
    <xf numFmtId="0" fontId="6" fillId="0" borderId="105" xfId="4" applyFont="1" applyBorder="1" applyAlignment="1">
      <alignment horizontal="centerContinuous" vertical="center"/>
    </xf>
    <xf numFmtId="3" fontId="6" fillId="0" borderId="94" xfId="4" applyNumberFormat="1" applyFont="1" applyFill="1" applyBorder="1" applyAlignment="1">
      <alignment vertical="center"/>
    </xf>
    <xf numFmtId="3" fontId="6" fillId="0" borderId="94" xfId="4" applyNumberFormat="1" applyFont="1" applyBorder="1" applyAlignment="1">
      <alignment vertical="center"/>
    </xf>
    <xf numFmtId="165" fontId="6" fillId="0" borderId="94" xfId="21" applyNumberFormat="1" applyFont="1" applyFill="1" applyBorder="1" applyAlignment="1">
      <alignment vertical="center"/>
    </xf>
    <xf numFmtId="3" fontId="5" fillId="0" borderId="94" xfId="4" applyNumberFormat="1" applyFont="1" applyBorder="1" applyAlignment="1">
      <alignment horizontal="center" vertical="center"/>
    </xf>
    <xf numFmtId="165" fontId="6" fillId="0" borderId="105" xfId="21" applyNumberFormat="1" applyFont="1" applyFill="1" applyBorder="1" applyAlignment="1">
      <alignment vertical="center"/>
    </xf>
    <xf numFmtId="0" fontId="5" fillId="0" borderId="126" xfId="4" applyFont="1" applyBorder="1" applyAlignment="1">
      <alignment horizontal="center" vertical="center"/>
    </xf>
    <xf numFmtId="166" fontId="5" fillId="0" borderId="94" xfId="2408" applyNumberFormat="1" applyFont="1" applyBorder="1" applyAlignment="1">
      <alignment horizontal="center" vertical="center"/>
    </xf>
    <xf numFmtId="3" fontId="5" fillId="0" borderId="94" xfId="4" applyNumberFormat="1" applyFont="1" applyFill="1" applyBorder="1" applyAlignment="1">
      <alignment horizontal="center" vertical="center"/>
    </xf>
    <xf numFmtId="166" fontId="5" fillId="0" borderId="105" xfId="2408" applyNumberFormat="1" applyFont="1" applyFill="1" applyBorder="1" applyAlignment="1">
      <alignment horizontal="center" vertical="center"/>
    </xf>
    <xf numFmtId="165" fontId="5" fillId="0" borderId="4" xfId="21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horizontal="center" vertical="center"/>
    </xf>
    <xf numFmtId="44" fontId="0" fillId="0" borderId="0" xfId="2" applyFont="1" applyAlignment="1">
      <alignment vertical="center"/>
    </xf>
    <xf numFmtId="0" fontId="6" fillId="0" borderId="123" xfId="4" applyFont="1" applyFill="1" applyBorder="1" applyAlignment="1">
      <alignment vertical="center"/>
    </xf>
    <xf numFmtId="165" fontId="6" fillId="0" borderId="4" xfId="21" applyNumberFormat="1" applyFont="1" applyFill="1" applyBorder="1" applyAlignment="1">
      <alignment vertical="center"/>
    </xf>
    <xf numFmtId="165" fontId="6" fillId="0" borderId="109" xfId="21" applyNumberFormat="1" applyFont="1" applyFill="1" applyBorder="1" applyAlignment="1">
      <alignment vertical="center"/>
    </xf>
    <xf numFmtId="37" fontId="6" fillId="0" borderId="4" xfId="4" applyNumberFormat="1" applyFont="1" applyBorder="1" applyAlignment="1">
      <alignment vertical="center"/>
    </xf>
    <xf numFmtId="37" fontId="5" fillId="0" borderId="94" xfId="4" applyNumberFormat="1" applyFont="1" applyFill="1" applyBorder="1" applyAlignment="1">
      <alignment vertical="center"/>
    </xf>
    <xf numFmtId="37" fontId="5" fillId="0" borderId="94" xfId="4" applyNumberFormat="1" applyFont="1" applyBorder="1" applyAlignment="1">
      <alignment vertical="center"/>
    </xf>
    <xf numFmtId="166" fontId="6" fillId="0" borderId="121" xfId="2408" quotePrefix="1" applyNumberFormat="1" applyFont="1" applyBorder="1" applyAlignment="1">
      <alignment horizontal="center" vertical="center"/>
    </xf>
    <xf numFmtId="0" fontId="6" fillId="0" borderId="94" xfId="4" quotePrefix="1" applyFont="1" applyBorder="1" applyAlignment="1">
      <alignment vertical="center"/>
    </xf>
    <xf numFmtId="166" fontId="6" fillId="0" borderId="4" xfId="2408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vertical="center"/>
    </xf>
    <xf numFmtId="166" fontId="6" fillId="0" borderId="109" xfId="2408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70" fontId="5" fillId="0" borderId="4" xfId="4" applyNumberFormat="1" applyFont="1" applyBorder="1" applyAlignment="1">
      <alignment vertical="center"/>
    </xf>
    <xf numFmtId="169" fontId="5" fillId="0" borderId="94" xfId="4" applyNumberFormat="1" applyFont="1" applyBorder="1" applyAlignment="1">
      <alignment vertical="center"/>
    </xf>
    <xf numFmtId="166" fontId="5" fillId="0" borderId="109" xfId="2408" applyNumberFormat="1" applyFont="1" applyBorder="1" applyAlignment="1">
      <alignment vertical="center"/>
    </xf>
    <xf numFmtId="0" fontId="6" fillId="0" borderId="122" xfId="4" applyFont="1" applyBorder="1" applyAlignment="1">
      <alignment vertical="center"/>
    </xf>
    <xf numFmtId="170" fontId="5" fillId="0" borderId="0" xfId="2408" applyNumberFormat="1" applyFont="1" applyAlignment="1">
      <alignment vertical="center"/>
    </xf>
    <xf numFmtId="0" fontId="6" fillId="0" borderId="123" xfId="4" quotePrefix="1" applyFont="1" applyBorder="1" applyAlignment="1">
      <alignment horizontal="centerContinuous" vertical="center"/>
    </xf>
    <xf numFmtId="3" fontId="6" fillId="0" borderId="105" xfId="4" applyNumberFormat="1" applyFont="1" applyBorder="1" applyAlignment="1">
      <alignment horizontal="right" vertical="center"/>
    </xf>
    <xf numFmtId="0" fontId="5" fillId="0" borderId="0" xfId="4" applyFont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71" fontId="5" fillId="0" borderId="0" xfId="4" applyNumberFormat="1" applyFont="1" applyAlignment="1">
      <alignment horizontal="left" vertical="center"/>
    </xf>
    <xf numFmtId="41" fontId="5" fillId="0" borderId="0" xfId="4" applyNumberFormat="1" applyFont="1" applyBorder="1" applyAlignment="1">
      <alignment vertical="center"/>
    </xf>
    <xf numFmtId="0" fontId="6" fillId="0" borderId="0" xfId="4" applyFont="1" applyBorder="1" applyAlignment="1">
      <alignment horizontal="centerContinuous" vertical="center"/>
    </xf>
    <xf numFmtId="165" fontId="5" fillId="0" borderId="94" xfId="21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4" applyFont="1" applyBorder="1" applyAlignment="1">
      <alignment horizontal="left" vertical="center"/>
    </xf>
    <xf numFmtId="3" fontId="6" fillId="0" borderId="0" xfId="4" applyNumberFormat="1" applyFont="1" applyFill="1" applyBorder="1" applyAlignment="1">
      <alignment horizontal="right" vertical="center"/>
    </xf>
    <xf numFmtId="3" fontId="6" fillId="0" borderId="0" xfId="4" applyNumberFormat="1" applyFont="1" applyFill="1" applyBorder="1" applyAlignment="1">
      <alignment vertical="center"/>
    </xf>
    <xf numFmtId="17" fontId="8" fillId="0" borderId="0" xfId="4" applyNumberFormat="1" applyFont="1" applyBorder="1" applyAlignment="1">
      <alignment horizontal="left" vertical="center"/>
    </xf>
    <xf numFmtId="17" fontId="6" fillId="0" borderId="0" xfId="4" applyNumberFormat="1" applyFont="1" applyBorder="1" applyAlignment="1">
      <alignment horizontal="left" vertical="center"/>
    </xf>
    <xf numFmtId="165" fontId="8" fillId="0" borderId="0" xfId="21" applyNumberFormat="1" applyFont="1" applyFill="1" applyBorder="1" applyAlignment="1">
      <alignment vertical="center"/>
    </xf>
    <xf numFmtId="3" fontId="6" fillId="0" borderId="0" xfId="4" applyNumberFormat="1" applyFont="1" applyFill="1" applyBorder="1" applyAlignment="1">
      <alignment horizontal="centerContinuous" vertical="center"/>
    </xf>
    <xf numFmtId="15" fontId="6" fillId="0" borderId="0" xfId="4" applyNumberFormat="1" applyFont="1" applyBorder="1" applyAlignment="1">
      <alignment vertical="center"/>
    </xf>
    <xf numFmtId="166" fontId="8" fillId="0" borderId="0" xfId="22" applyNumberFormat="1" applyFont="1" applyFill="1" applyBorder="1" applyAlignment="1">
      <alignment vertical="center"/>
    </xf>
    <xf numFmtId="3" fontId="6" fillId="0" borderId="0" xfId="4" applyNumberFormat="1" applyFont="1" applyBorder="1" applyAlignment="1">
      <alignment horizontal="right" vertical="center"/>
    </xf>
    <xf numFmtId="3" fontId="6" fillId="0" borderId="0" xfId="4" applyNumberFormat="1" applyFont="1" applyBorder="1" applyAlignment="1">
      <alignment vertical="center"/>
    </xf>
    <xf numFmtId="165" fontId="6" fillId="0" borderId="0" xfId="21" applyNumberFormat="1" applyFont="1" applyFill="1" applyBorder="1" applyAlignment="1">
      <alignment vertical="center"/>
    </xf>
    <xf numFmtId="37" fontId="6" fillId="0" borderId="123" xfId="4" applyNumberFormat="1" applyFont="1" applyBorder="1" applyAlignment="1">
      <alignment horizontal="center" vertical="center"/>
    </xf>
    <xf numFmtId="165" fontId="6" fillId="0" borderId="94" xfId="2" applyNumberFormat="1" applyFont="1" applyBorder="1" applyAlignment="1">
      <alignment vertical="center"/>
    </xf>
    <xf numFmtId="166" fontId="6" fillId="0" borderId="105" xfId="1" applyNumberFormat="1" applyFont="1" applyBorder="1" applyAlignment="1">
      <alignment vertical="center"/>
    </xf>
    <xf numFmtId="165" fontId="6" fillId="0" borderId="123" xfId="21" applyNumberFormat="1" applyFont="1" applyBorder="1" applyAlignment="1">
      <alignment vertical="center"/>
    </xf>
    <xf numFmtId="165" fontId="5" fillId="0" borderId="123" xfId="21" applyNumberFormat="1" applyFont="1" applyBorder="1" applyAlignment="1">
      <alignment vertical="center"/>
    </xf>
    <xf numFmtId="0" fontId="5" fillId="0" borderId="0" xfId="4" applyFont="1" applyFill="1" applyBorder="1" applyAlignment="1">
      <alignment vertical="center"/>
    </xf>
    <xf numFmtId="0" fontId="6" fillId="0" borderId="0" xfId="0" applyFont="1" applyAlignment="1">
      <alignment vertical="center"/>
    </xf>
    <xf numFmtId="49" fontId="5" fillId="0" borderId="0" xfId="0" applyNumberFormat="1" applyFont="1" applyAlignment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Continuous" vertical="center"/>
    </xf>
    <xf numFmtId="0" fontId="5" fillId="0" borderId="0" xfId="0" quotePrefix="1" applyFont="1" applyBorder="1" applyAlignment="1">
      <alignment horizontal="centerContinuous" vertical="center"/>
    </xf>
    <xf numFmtId="49" fontId="5" fillId="0" borderId="0" xfId="0" applyNumberFormat="1" applyFont="1" applyBorder="1" applyAlignment="1">
      <alignment horizontal="centerContinuous" vertical="center"/>
    </xf>
    <xf numFmtId="0" fontId="5" fillId="0" borderId="0" xfId="0" applyFont="1" applyBorder="1" applyAlignment="1">
      <alignment horizontal="centerContinuous" vertical="center"/>
    </xf>
    <xf numFmtId="166" fontId="5" fillId="0" borderId="0" xfId="1" quotePrefix="1" applyNumberFormat="1" applyFont="1" applyBorder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49" fontId="6" fillId="0" borderId="129" xfId="0" applyNumberFormat="1" applyFont="1" applyBorder="1" applyAlignment="1">
      <alignment vertical="center"/>
    </xf>
    <xf numFmtId="0" fontId="6" fillId="0" borderId="130" xfId="0" applyFont="1" applyBorder="1" applyAlignment="1">
      <alignment vertical="center"/>
    </xf>
    <xf numFmtId="0" fontId="6" fillId="0" borderId="8" xfId="0" quotePrefix="1" applyFont="1" applyBorder="1" applyAlignment="1">
      <alignment horizontal="center" vertical="center"/>
    </xf>
    <xf numFmtId="166" fontId="6" fillId="0" borderId="8" xfId="1" quotePrefix="1" applyNumberFormat="1" applyFont="1" applyBorder="1" applyAlignment="1">
      <alignment horizontal="center" vertical="center"/>
    </xf>
    <xf numFmtId="0" fontId="6" fillId="0" borderId="131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49" fontId="6" fillId="0" borderId="132" xfId="0" applyNumberFormat="1" applyFont="1" applyBorder="1" applyAlignment="1">
      <alignment horizontal="center" vertical="center"/>
    </xf>
    <xf numFmtId="0" fontId="6" fillId="0" borderId="9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49" fontId="6" fillId="0" borderId="133" xfId="0" applyNumberFormat="1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49" fontId="5" fillId="0" borderId="132" xfId="0" applyNumberFormat="1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38" fontId="6" fillId="0" borderId="94" xfId="1" applyNumberFormat="1" applyFont="1" applyBorder="1" applyAlignment="1">
      <alignment vertical="center"/>
    </xf>
    <xf numFmtId="38" fontId="6" fillId="0" borderId="10" xfId="1" applyNumberFormat="1" applyFont="1" applyBorder="1" applyAlignment="1">
      <alignment vertical="center"/>
    </xf>
    <xf numFmtId="0" fontId="5" fillId="0" borderId="132" xfId="0" applyFont="1" applyBorder="1" applyAlignment="1">
      <alignment horizontal="center" vertical="center"/>
    </xf>
    <xf numFmtId="38" fontId="5" fillId="0" borderId="10" xfId="1" applyNumberFormat="1" applyFont="1" applyBorder="1" applyAlignment="1">
      <alignment horizontal="center" vertical="center"/>
    </xf>
    <xf numFmtId="38" fontId="5" fillId="0" borderId="135" xfId="1" applyNumberFormat="1" applyFont="1" applyBorder="1" applyAlignment="1">
      <alignment horizontal="center" vertical="center"/>
    </xf>
    <xf numFmtId="166" fontId="5" fillId="0" borderId="0" xfId="1" applyNumberFormat="1" applyFont="1" applyFill="1" applyBorder="1" applyAlignment="1">
      <alignment vertical="center"/>
    </xf>
    <xf numFmtId="166" fontId="5" fillId="0" borderId="105" xfId="1" applyNumberFormat="1" applyFont="1" applyFill="1" applyBorder="1" applyAlignment="1">
      <alignment vertical="center"/>
    </xf>
    <xf numFmtId="49" fontId="5" fillId="0" borderId="136" xfId="0" applyNumberFormat="1" applyFont="1" applyBorder="1" applyAlignment="1">
      <alignment vertical="center"/>
    </xf>
    <xf numFmtId="0" fontId="20" fillId="0" borderId="11" xfId="0" applyFont="1" applyBorder="1" applyAlignment="1">
      <alignment vertical="center"/>
    </xf>
    <xf numFmtId="165" fontId="5" fillId="0" borderId="53" xfId="2" applyNumberFormat="1" applyFont="1" applyFill="1" applyBorder="1" applyAlignment="1">
      <alignment vertical="center"/>
    </xf>
    <xf numFmtId="165" fontId="5" fillId="0" borderId="11" xfId="2" applyNumberFormat="1" applyFont="1" applyFill="1" applyBorder="1" applyAlignment="1">
      <alignment vertical="center"/>
    </xf>
    <xf numFmtId="38" fontId="5" fillId="0" borderId="127" xfId="1" applyNumberFormat="1" applyFont="1" applyBorder="1" applyAlignment="1">
      <alignment horizontal="center" vertical="center"/>
    </xf>
    <xf numFmtId="49" fontId="5" fillId="0" borderId="132" xfId="0" applyNumberFormat="1" applyFont="1" applyBorder="1" applyAlignment="1">
      <alignment horizontal="center" vertical="center"/>
    </xf>
    <xf numFmtId="172" fontId="5" fillId="0" borderId="94" xfId="1" applyNumberFormat="1" applyFont="1" applyFill="1" applyBorder="1" applyAlignment="1">
      <alignment vertical="center"/>
    </xf>
    <xf numFmtId="172" fontId="5" fillId="0" borderId="0" xfId="1" applyNumberFormat="1" applyFont="1" applyFill="1" applyBorder="1" applyAlignment="1">
      <alignment vertical="center"/>
    </xf>
    <xf numFmtId="166" fontId="5" fillId="0" borderId="123" xfId="1" applyNumberFormat="1" applyFont="1" applyFill="1" applyBorder="1" applyAlignment="1">
      <alignment vertical="center"/>
    </xf>
    <xf numFmtId="0" fontId="20" fillId="0" borderId="0" xfId="0" applyFont="1" applyBorder="1" applyAlignment="1">
      <alignment vertical="center"/>
    </xf>
    <xf numFmtId="165" fontId="6" fillId="0" borderId="123" xfId="2" applyNumberFormat="1" applyFont="1" applyFill="1" applyBorder="1" applyAlignment="1">
      <alignment vertical="center"/>
    </xf>
    <xf numFmtId="165" fontId="6" fillId="0" borderId="52" xfId="2" applyNumberFormat="1" applyFont="1" applyFill="1" applyBorder="1" applyAlignment="1">
      <alignment vertical="center"/>
    </xf>
    <xf numFmtId="49" fontId="5" fillId="0" borderId="136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172" fontId="5" fillId="0" borderId="53" xfId="0" applyNumberFormat="1" applyFont="1" applyFill="1" applyBorder="1" applyAlignment="1">
      <alignment vertical="center"/>
    </xf>
    <xf numFmtId="172" fontId="5" fillId="0" borderId="53" xfId="1" applyNumberFormat="1" applyFont="1" applyFill="1" applyBorder="1" applyAlignment="1">
      <alignment vertical="center"/>
    </xf>
    <xf numFmtId="0" fontId="5" fillId="0" borderId="127" xfId="0" applyFont="1" applyBorder="1" applyAlignment="1">
      <alignment vertical="center"/>
    </xf>
    <xf numFmtId="49" fontId="5" fillId="0" borderId="9" xfId="0" applyNumberFormat="1" applyFont="1" applyBorder="1" applyAlignment="1">
      <alignment horizontal="center" vertical="center"/>
    </xf>
    <xf numFmtId="172" fontId="5" fillId="0" borderId="0" xfId="0" applyNumberFormat="1" applyFont="1" applyFill="1" applyBorder="1" applyAlignment="1">
      <alignment vertical="center"/>
    </xf>
    <xf numFmtId="0" fontId="5" fillId="0" borderId="10" xfId="0" applyFont="1" applyBorder="1" applyAlignment="1">
      <alignment vertical="center"/>
    </xf>
    <xf numFmtId="166" fontId="5" fillId="0" borderId="126" xfId="1" applyNumberFormat="1" applyFont="1" applyFill="1" applyBorder="1" applyAlignment="1">
      <alignment vertical="center"/>
    </xf>
    <xf numFmtId="49" fontId="5" fillId="0" borderId="56" xfId="0" applyNumberFormat="1" applyFont="1" applyBorder="1" applyAlignment="1">
      <alignment horizontal="center" vertical="center"/>
    </xf>
    <xf numFmtId="166" fontId="5" fillId="0" borderId="11" xfId="1" applyNumberFormat="1" applyFont="1" applyBorder="1" applyAlignment="1">
      <alignment vertical="center"/>
    </xf>
    <xf numFmtId="49" fontId="5" fillId="0" borderId="0" xfId="0" applyNumberFormat="1" applyFont="1" applyAlignment="1">
      <alignment horizontal="center" vertical="center"/>
    </xf>
    <xf numFmtId="165" fontId="6" fillId="0" borderId="94" xfId="2" applyNumberFormat="1" applyFont="1" applyFill="1" applyBorder="1" applyAlignment="1">
      <alignment vertical="center"/>
    </xf>
    <xf numFmtId="0" fontId="5" fillId="0" borderId="126" xfId="0" applyFont="1" applyBorder="1" applyAlignment="1">
      <alignment horizontal="center" vertical="center"/>
    </xf>
    <xf numFmtId="166" fontId="5" fillId="0" borderId="126" xfId="1" applyNumberFormat="1" applyFont="1" applyFill="1" applyBorder="1"/>
    <xf numFmtId="0" fontId="5" fillId="0" borderId="9" xfId="0" applyFont="1" applyBorder="1" applyAlignment="1">
      <alignment horizontal="center" vertical="center"/>
    </xf>
    <xf numFmtId="49" fontId="13" fillId="0" borderId="9" xfId="0" applyNumberFormat="1" applyFont="1" applyBorder="1" applyAlignment="1"/>
    <xf numFmtId="49" fontId="5" fillId="0" borderId="9" xfId="0" applyNumberFormat="1" applyFont="1" applyBorder="1" applyAlignment="1">
      <alignment horizontal="center"/>
    </xf>
    <xf numFmtId="0" fontId="6" fillId="0" borderId="9" xfId="0" applyFont="1" applyBorder="1" applyAlignment="1">
      <alignment horizontal="left"/>
    </xf>
    <xf numFmtId="0" fontId="6" fillId="0" borderId="9" xfId="1604" applyFont="1" applyFill="1" applyBorder="1" applyAlignment="1">
      <alignment horizontal="left"/>
    </xf>
    <xf numFmtId="0" fontId="11" fillId="0" borderId="9" xfId="1604" applyFont="1" applyFill="1" applyBorder="1" applyAlignment="1">
      <alignment horizontal="center"/>
    </xf>
    <xf numFmtId="0" fontId="5" fillId="0" borderId="10" xfId="0" applyFont="1" applyBorder="1"/>
    <xf numFmtId="37" fontId="5" fillId="0" borderId="0" xfId="0" applyNumberFormat="1" applyFont="1" applyAlignment="1">
      <alignment vertical="center"/>
    </xf>
    <xf numFmtId="37" fontId="5" fillId="0" borderId="0" xfId="0" applyNumberFormat="1" applyFont="1" applyBorder="1" applyAlignment="1">
      <alignment vertical="center"/>
    </xf>
    <xf numFmtId="37" fontId="5" fillId="0" borderId="11" xfId="0" applyNumberFormat="1" applyFont="1" applyBorder="1" applyAlignment="1">
      <alignment vertical="center"/>
    </xf>
    <xf numFmtId="37" fontId="6" fillId="0" borderId="0" xfId="0" applyNumberFormat="1" applyFont="1" applyBorder="1" applyAlignment="1">
      <alignment horizontal="center" vertical="center"/>
    </xf>
    <xf numFmtId="37" fontId="6" fillId="0" borderId="129" xfId="0" applyNumberFormat="1" applyFont="1" applyBorder="1" applyAlignment="1">
      <alignment horizontal="center" vertical="center"/>
    </xf>
    <xf numFmtId="37" fontId="6" fillId="0" borderId="130" xfId="0" applyNumberFormat="1" applyFont="1" applyBorder="1" applyAlignment="1">
      <alignment vertical="center"/>
    </xf>
    <xf numFmtId="37" fontId="6" fillId="0" borderId="8" xfId="0" quotePrefix="1" applyNumberFormat="1" applyFont="1" applyBorder="1" applyAlignment="1">
      <alignment horizontal="center" vertical="center"/>
    </xf>
    <xf numFmtId="37" fontId="6" fillId="0" borderId="130" xfId="0" quotePrefix="1" applyNumberFormat="1" applyFont="1" applyBorder="1" applyAlignment="1">
      <alignment horizontal="center" vertical="center"/>
    </xf>
    <xf numFmtId="37" fontId="6" fillId="0" borderId="131" xfId="0" quotePrefix="1" applyNumberFormat="1" applyFont="1" applyBorder="1" applyAlignment="1">
      <alignment horizontal="center" vertical="center"/>
    </xf>
    <xf numFmtId="37" fontId="5" fillId="0" borderId="0" xfId="0" applyNumberFormat="1" applyFont="1" applyBorder="1" applyAlignment="1">
      <alignment horizontal="center" vertical="center"/>
    </xf>
    <xf numFmtId="37" fontId="6" fillId="0" borderId="132" xfId="0" applyNumberFormat="1" applyFont="1" applyBorder="1" applyAlignment="1">
      <alignment horizontal="center" vertical="center"/>
    </xf>
    <xf numFmtId="37" fontId="6" fillId="0" borderId="0" xfId="0" applyNumberFormat="1" applyFont="1" applyBorder="1" applyAlignment="1">
      <alignment vertical="center"/>
    </xf>
    <xf numFmtId="37" fontId="6" fillId="0" borderId="94" xfId="12" applyNumberFormat="1" applyFont="1" applyFill="1" applyBorder="1" applyAlignment="1">
      <alignment horizontal="center" vertical="center"/>
    </xf>
    <xf numFmtId="37" fontId="6" fillId="0" borderId="0" xfId="0" applyNumberFormat="1" applyFont="1" applyFill="1" applyBorder="1" applyAlignment="1">
      <alignment horizontal="center" vertical="center"/>
    </xf>
    <xf numFmtId="37" fontId="6" fillId="0" borderId="10" xfId="0" quotePrefix="1" applyNumberFormat="1" applyFont="1" applyBorder="1" applyAlignment="1">
      <alignment horizontal="center" vertical="center"/>
    </xf>
    <xf numFmtId="37" fontId="6" fillId="0" borderId="136" xfId="0" applyNumberFormat="1" applyFont="1" applyBorder="1" applyAlignment="1">
      <alignment horizontal="center" vertical="center"/>
    </xf>
    <xf numFmtId="37" fontId="6" fillId="0" borderId="11" xfId="0" applyNumberFormat="1" applyFont="1" applyBorder="1" applyAlignment="1">
      <alignment horizontal="center" vertical="center"/>
    </xf>
    <xf numFmtId="37" fontId="6" fillId="0" borderId="53" xfId="12" applyNumberFormat="1" applyFont="1" applyFill="1" applyBorder="1" applyAlignment="1">
      <alignment horizontal="center" vertical="center"/>
    </xf>
    <xf numFmtId="37" fontId="6" fillId="0" borderId="127" xfId="0" applyNumberFormat="1" applyFont="1" applyBorder="1" applyAlignment="1">
      <alignment horizontal="center" vertical="center"/>
    </xf>
    <xf numFmtId="37" fontId="5" fillId="0" borderId="132" xfId="0" applyNumberFormat="1" applyFont="1" applyBorder="1" applyAlignment="1">
      <alignment horizontal="center" vertical="center"/>
    </xf>
    <xf numFmtId="37" fontId="19" fillId="0" borderId="0" xfId="0" applyNumberFormat="1" applyFont="1" applyBorder="1" applyAlignment="1">
      <alignment vertical="center"/>
    </xf>
    <xf numFmtId="37" fontId="5" fillId="0" borderId="94" xfId="12" applyNumberFormat="1" applyFont="1" applyFill="1" applyBorder="1" applyAlignment="1">
      <alignment horizontal="center" vertical="center"/>
    </xf>
    <xf numFmtId="37" fontId="5" fillId="0" borderId="10" xfId="12" applyNumberFormat="1" applyFont="1" applyFill="1" applyBorder="1" applyAlignment="1">
      <alignment horizontal="center" vertical="center"/>
    </xf>
    <xf numFmtId="37" fontId="5" fillId="0" borderId="0" xfId="0" applyNumberFormat="1" applyFont="1" applyBorder="1" applyAlignment="1">
      <alignment horizontal="left" vertical="center"/>
    </xf>
    <xf numFmtId="0" fontId="5" fillId="0" borderId="10" xfId="0" applyNumberFormat="1" applyFont="1" applyFill="1" applyBorder="1" applyAlignment="1">
      <alignment horizontal="center" vertical="center"/>
    </xf>
    <xf numFmtId="39" fontId="5" fillId="0" borderId="0" xfId="0" applyNumberFormat="1" applyFont="1" applyAlignment="1">
      <alignment vertical="center"/>
    </xf>
    <xf numFmtId="43" fontId="5" fillId="0" borderId="0" xfId="1" applyFont="1" applyFill="1" applyAlignment="1">
      <alignment vertical="center"/>
    </xf>
    <xf numFmtId="37" fontId="5" fillId="0" borderId="0" xfId="0" applyNumberFormat="1" applyFont="1" applyFill="1" applyAlignment="1">
      <alignment vertical="center"/>
    </xf>
    <xf numFmtId="173" fontId="5" fillId="0" borderId="132" xfId="0" applyNumberFormat="1" applyFont="1" applyBorder="1" applyAlignment="1">
      <alignment horizontal="center" vertical="center"/>
    </xf>
    <xf numFmtId="43" fontId="5" fillId="0" borderId="0" xfId="1" applyFont="1" applyBorder="1" applyAlignment="1">
      <alignment vertical="center"/>
    </xf>
    <xf numFmtId="0" fontId="5" fillId="0" borderId="135" xfId="0" applyNumberFormat="1" applyFont="1" applyFill="1" applyBorder="1" applyAlignment="1">
      <alignment horizontal="center" vertical="center"/>
    </xf>
    <xf numFmtId="37" fontId="5" fillId="0" borderId="94" xfId="0" applyNumberFormat="1" applyFont="1" applyBorder="1" applyAlignment="1">
      <alignment vertical="center"/>
    </xf>
    <xf numFmtId="37" fontId="5" fillId="0" borderId="0" xfId="0" applyNumberFormat="1" applyFont="1" applyFill="1" applyBorder="1" applyAlignment="1">
      <alignment vertical="center"/>
    </xf>
    <xf numFmtId="37" fontId="5" fillId="0" borderId="10" xfId="0" applyNumberFormat="1" applyFont="1" applyBorder="1" applyAlignment="1">
      <alignment vertical="center"/>
    </xf>
    <xf numFmtId="37" fontId="6" fillId="0" borderId="0" xfId="0" applyNumberFormat="1" applyFont="1" applyFill="1" applyBorder="1" applyAlignment="1">
      <alignment vertical="center"/>
    </xf>
    <xf numFmtId="165" fontId="6" fillId="0" borderId="52" xfId="2" applyNumberFormat="1" applyFont="1" applyBorder="1" applyAlignment="1">
      <alignment vertical="center"/>
    </xf>
    <xf numFmtId="165" fontId="6" fillId="0" borderId="112" xfId="2" applyNumberFormat="1" applyFont="1" applyFill="1" applyBorder="1" applyAlignment="1">
      <alignment vertical="center"/>
    </xf>
    <xf numFmtId="37" fontId="5" fillId="0" borderId="10" xfId="0" applyNumberFormat="1" applyFont="1" applyFill="1" applyBorder="1" applyAlignment="1">
      <alignment horizontal="center" vertical="center"/>
    </xf>
    <xf numFmtId="37" fontId="5" fillId="0" borderId="136" xfId="0" applyNumberFormat="1" applyFont="1" applyBorder="1" applyAlignment="1">
      <alignment vertical="center"/>
    </xf>
    <xf numFmtId="37" fontId="5" fillId="0" borderId="53" xfId="1" applyNumberFormat="1" applyFont="1" applyBorder="1" applyAlignment="1">
      <alignment vertical="center"/>
    </xf>
    <xf numFmtId="0" fontId="6" fillId="0" borderId="108" xfId="0" applyFont="1" applyBorder="1" applyAlignment="1">
      <alignment horizontal="center" vertical="center"/>
    </xf>
    <xf numFmtId="37" fontId="5" fillId="0" borderId="127" xfId="0" applyNumberFormat="1" applyFont="1" applyBorder="1" applyAlignment="1">
      <alignment vertical="center"/>
    </xf>
    <xf numFmtId="37" fontId="5" fillId="0" borderId="9" xfId="0" applyNumberFormat="1" applyFont="1" applyBorder="1" applyAlignment="1">
      <alignment vertical="center"/>
    </xf>
    <xf numFmtId="37" fontId="5" fillId="0" borderId="0" xfId="1" applyNumberFormat="1" applyFont="1" applyBorder="1" applyAlignment="1">
      <alignment vertical="center"/>
    </xf>
    <xf numFmtId="37" fontId="5" fillId="0" borderId="0" xfId="1" applyNumberFormat="1" applyFont="1" applyFill="1" applyBorder="1" applyAlignment="1">
      <alignment vertical="center"/>
    </xf>
    <xf numFmtId="37" fontId="13" fillId="0" borderId="9" xfId="0" applyNumberFormat="1" applyFont="1" applyFill="1" applyBorder="1" applyAlignment="1">
      <alignment horizontal="left" vertical="center"/>
    </xf>
    <xf numFmtId="37" fontId="6" fillId="0" borderId="0" xfId="0" applyNumberFormat="1" applyFont="1" applyFill="1" applyBorder="1" applyAlignment="1">
      <alignment horizontal="left" vertical="center"/>
    </xf>
    <xf numFmtId="165" fontId="6" fillId="0" borderId="1" xfId="2" applyNumberFormat="1" applyFont="1" applyBorder="1" applyAlignment="1">
      <alignment vertical="center"/>
    </xf>
    <xf numFmtId="165" fontId="6" fillId="0" borderId="0" xfId="2" applyNumberFormat="1" applyFont="1" applyBorder="1" applyAlignment="1">
      <alignment vertical="center"/>
    </xf>
    <xf numFmtId="37" fontId="5" fillId="0" borderId="0" xfId="0" applyNumberFormat="1" applyFont="1" applyFill="1" applyBorder="1" applyAlignment="1">
      <alignment horizontal="left" vertical="center"/>
    </xf>
    <xf numFmtId="37" fontId="5" fillId="0" borderId="56" xfId="0" applyNumberFormat="1" applyFont="1" applyBorder="1" applyAlignment="1">
      <alignment vertical="center"/>
    </xf>
    <xf numFmtId="37" fontId="5" fillId="0" borderId="11" xfId="0" applyNumberFormat="1" applyFont="1" applyFill="1" applyBorder="1" applyAlignment="1">
      <alignment horizontal="left" vertical="center"/>
    </xf>
    <xf numFmtId="173" fontId="5" fillId="0" borderId="0" xfId="0" applyNumberFormat="1" applyFont="1" applyBorder="1" applyAlignment="1">
      <alignment vertical="center"/>
    </xf>
    <xf numFmtId="37" fontId="11" fillId="0" borderId="0" xfId="0" applyNumberFormat="1" applyFont="1" applyBorder="1" applyAlignment="1">
      <alignment horizontal="center" vertical="center"/>
    </xf>
    <xf numFmtId="37" fontId="6" fillId="0" borderId="0" xfId="56" applyNumberFormat="1" applyFont="1" applyAlignment="1" applyProtection="1">
      <alignment horizontal="center" vertical="center"/>
      <protection locked="0"/>
    </xf>
    <xf numFmtId="37" fontId="6" fillId="0" borderId="0" xfId="56" applyNumberFormat="1" applyFont="1" applyAlignment="1">
      <alignment vertical="center"/>
    </xf>
    <xf numFmtId="165" fontId="6" fillId="0" borderId="1" xfId="2" applyNumberFormat="1" applyFont="1" applyFill="1" applyBorder="1"/>
    <xf numFmtId="0" fontId="5" fillId="0" borderId="119" xfId="0" applyFont="1" applyBorder="1"/>
    <xf numFmtId="15" fontId="5" fillId="0" borderId="94" xfId="4" quotePrefix="1" applyNumberFormat="1" applyFont="1" applyBorder="1" applyAlignment="1">
      <alignment horizontal="left" vertical="center"/>
    </xf>
    <xf numFmtId="10" fontId="5" fillId="0" borderId="0" xfId="3853" applyNumberFormat="1" applyFont="1" applyAlignment="1">
      <alignment horizontal="center" vertical="center"/>
    </xf>
    <xf numFmtId="6" fontId="6" fillId="0" borderId="0" xfId="4" quotePrefix="1" applyNumberFormat="1" applyFont="1" applyAlignment="1">
      <alignment horizontal="centerContinuous" vertical="center"/>
    </xf>
    <xf numFmtId="0" fontId="5" fillId="0" borderId="126" xfId="4" applyFont="1" applyBorder="1" applyAlignment="1">
      <alignment vertical="center"/>
    </xf>
    <xf numFmtId="166" fontId="6" fillId="0" borderId="126" xfId="2408" applyNumberFormat="1" applyFont="1" applyBorder="1" applyAlignment="1">
      <alignment vertical="center"/>
    </xf>
    <xf numFmtId="210" fontId="5" fillId="0" borderId="0" xfId="4" applyNumberFormat="1" applyFont="1" applyAlignment="1">
      <alignment horizontal="center" vertical="center"/>
    </xf>
    <xf numFmtId="165" fontId="27" fillId="0" borderId="123" xfId="21" applyNumberFormat="1" applyFont="1" applyBorder="1" applyAlignment="1">
      <alignment vertical="center"/>
    </xf>
    <xf numFmtId="1" fontId="5" fillId="0" borderId="0" xfId="4" applyNumberFormat="1" applyFont="1" applyAlignment="1">
      <alignment vertical="center"/>
    </xf>
    <xf numFmtId="166" fontId="5" fillId="0" borderId="105" xfId="4" applyNumberFormat="1" applyFont="1" applyBorder="1" applyAlignment="1">
      <alignment horizontal="center" vertical="center"/>
    </xf>
    <xf numFmtId="17" fontId="6" fillId="0" borderId="123" xfId="4" applyNumberFormat="1" applyFont="1" applyBorder="1" applyAlignment="1">
      <alignment horizontal="left" vertical="center"/>
    </xf>
    <xf numFmtId="166" fontId="159" fillId="0" borderId="123" xfId="2408" applyNumberFormat="1" applyFont="1" applyBorder="1" applyAlignment="1">
      <alignment vertical="center"/>
    </xf>
    <xf numFmtId="166" fontId="6" fillId="0" borderId="123" xfId="4" applyNumberFormat="1" applyFont="1" applyBorder="1" applyAlignment="1">
      <alignment horizontal="center" vertical="center"/>
    </xf>
    <xf numFmtId="166" fontId="5" fillId="0" borderId="94" xfId="4" applyNumberFormat="1" applyFont="1" applyBorder="1" applyAlignment="1">
      <alignment horizontal="center" vertical="center"/>
    </xf>
    <xf numFmtId="166" fontId="6" fillId="0" borderId="123" xfId="2408" applyNumberFormat="1" applyFont="1" applyBorder="1" applyAlignment="1">
      <alignment vertical="center"/>
    </xf>
    <xf numFmtId="166" fontId="5" fillId="0" borderId="123" xfId="4" applyNumberFormat="1" applyFont="1" applyBorder="1" applyAlignment="1">
      <alignment horizontal="center" vertical="center"/>
    </xf>
    <xf numFmtId="165" fontId="5" fillId="0" borderId="105" xfId="21" applyNumberFormat="1" applyFont="1" applyBorder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0" fontId="6" fillId="0" borderId="126" xfId="4" applyFont="1" applyBorder="1" applyAlignment="1">
      <alignment horizontal="centerContinuous" vertical="center"/>
    </xf>
    <xf numFmtId="166" fontId="6" fillId="0" borderId="0" xfId="2408" applyNumberFormat="1" applyFont="1" applyBorder="1" applyAlignment="1">
      <alignment vertical="center"/>
    </xf>
    <xf numFmtId="0" fontId="6" fillId="0" borderId="123" xfId="4" applyFont="1" applyBorder="1" applyAlignment="1">
      <alignment horizontal="left" vertical="center"/>
    </xf>
    <xf numFmtId="174" fontId="5" fillId="0" borderId="0" xfId="4" applyNumberFormat="1" applyFont="1" applyAlignment="1">
      <alignment vertical="center"/>
    </xf>
    <xf numFmtId="166" fontId="27" fillId="0" borderId="94" xfId="1" applyNumberFormat="1" applyFont="1" applyBorder="1" applyAlignment="1">
      <alignment vertical="center"/>
    </xf>
    <xf numFmtId="166" fontId="6" fillId="0" borderId="123" xfId="1" applyNumberFormat="1" applyFont="1" applyBorder="1" applyAlignment="1">
      <alignment vertical="center"/>
    </xf>
    <xf numFmtId="166" fontId="6" fillId="0" borderId="105" xfId="4" applyNumberFormat="1" applyFont="1" applyBorder="1" applyAlignment="1">
      <alignment horizontal="center" vertical="center"/>
    </xf>
    <xf numFmtId="166" fontId="5" fillId="0" borderId="0" xfId="2408" applyNumberFormat="1" applyFont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166" fontId="27" fillId="0" borderId="105" xfId="1" applyNumberFormat="1" applyFont="1" applyBorder="1" applyAlignment="1">
      <alignment vertical="center"/>
    </xf>
    <xf numFmtId="0" fontId="5" fillId="0" borderId="0" xfId="4" applyFont="1" applyAlignment="1" applyProtection="1">
      <alignment horizontal="center" vertical="center"/>
    </xf>
    <xf numFmtId="5" fontId="5" fillId="0" borderId="0" xfId="4" applyNumberFormat="1" applyFont="1" applyAlignment="1" applyProtection="1">
      <alignment vertical="center"/>
      <protection locked="0"/>
    </xf>
    <xf numFmtId="0" fontId="6" fillId="0" borderId="0" xfId="4" applyFont="1" applyAlignment="1">
      <alignment vertical="center"/>
    </xf>
    <xf numFmtId="0" fontId="5" fillId="0" borderId="0" xfId="0" applyFont="1" applyAlignment="1" applyProtection="1">
      <alignment horizontal="center" vertical="center"/>
    </xf>
    <xf numFmtId="0" fontId="5" fillId="0" borderId="0" xfId="4" applyFont="1" applyBorder="1" applyAlignment="1" applyProtection="1">
      <alignment horizontal="center" vertical="center"/>
    </xf>
    <xf numFmtId="0" fontId="5" fillId="0" borderId="126" xfId="0" applyFont="1" applyBorder="1" applyAlignment="1" applyProtection="1">
      <alignment horizontal="center" vertical="center"/>
    </xf>
    <xf numFmtId="0" fontId="158" fillId="0" borderId="0" xfId="4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5" fillId="3" borderId="0" xfId="2" applyNumberFormat="1" applyFont="1" applyFill="1" applyAlignment="1">
      <alignment vertical="center"/>
    </xf>
    <xf numFmtId="166" fontId="5" fillId="3" borderId="0" xfId="1" applyNumberFormat="1" applyFont="1" applyFill="1" applyBorder="1" applyAlignment="1" applyProtection="1">
      <alignment vertical="center"/>
      <protection locked="0"/>
    </xf>
    <xf numFmtId="166" fontId="5" fillId="3" borderId="126" xfId="1" applyNumberFormat="1" applyFont="1" applyFill="1" applyBorder="1" applyAlignment="1" applyProtection="1">
      <alignment vertical="center"/>
      <protection locked="0"/>
    </xf>
    <xf numFmtId="0" fontId="5" fillId="0" borderId="0" xfId="4" applyFont="1" applyFill="1" applyAlignment="1">
      <alignment horizontal="left" vertical="center"/>
    </xf>
    <xf numFmtId="165" fontId="5" fillId="0" borderId="0" xfId="2" applyNumberFormat="1" applyFont="1" applyFill="1" applyAlignment="1">
      <alignment horizontal="center" vertical="center"/>
    </xf>
    <xf numFmtId="165" fontId="5" fillId="0" borderId="0" xfId="21" applyNumberFormat="1" applyFont="1" applyAlignment="1">
      <alignment horizontal="center" vertical="center"/>
    </xf>
    <xf numFmtId="165" fontId="5" fillId="0" borderId="1" xfId="21" applyNumberFormat="1" applyFont="1" applyBorder="1" applyAlignment="1">
      <alignment vertical="center"/>
    </xf>
    <xf numFmtId="165" fontId="5" fillId="0" borderId="0" xfId="21" applyNumberFormat="1" applyFont="1" applyBorder="1" applyAlignment="1">
      <alignment vertical="center"/>
    </xf>
    <xf numFmtId="0" fontId="11" fillId="0" borderId="0" xfId="4" applyFont="1" applyAlignment="1" applyProtection="1">
      <alignment horizontal="center" vertical="center"/>
    </xf>
    <xf numFmtId="166" fontId="5" fillId="3" borderId="126" xfId="1" applyNumberFormat="1" applyFont="1" applyFill="1" applyBorder="1" applyAlignment="1">
      <alignment vertical="center"/>
    </xf>
    <xf numFmtId="0" fontId="9" fillId="0" borderId="0" xfId="4" applyFont="1" applyAlignment="1">
      <alignment horizontal="center" vertical="center"/>
    </xf>
    <xf numFmtId="0" fontId="9" fillId="0" borderId="0" xfId="4" applyFont="1" applyAlignment="1" applyProtection="1">
      <alignment horizontal="center" vertical="center"/>
    </xf>
    <xf numFmtId="0" fontId="6" fillId="0" borderId="0" xfId="4" applyFont="1" applyAlignment="1" applyProtection="1">
      <alignment horizontal="center" vertical="center"/>
    </xf>
    <xf numFmtId="15" fontId="5" fillId="0" borderId="126" xfId="4" applyNumberFormat="1" applyFont="1" applyBorder="1" applyAlignment="1">
      <alignment horizontal="center" vertical="center"/>
    </xf>
    <xf numFmtId="165" fontId="5" fillId="0" borderId="0" xfId="21" applyNumberFormat="1" applyFont="1" applyBorder="1" applyAlignment="1" applyProtection="1">
      <alignment vertical="center"/>
      <protection locked="0"/>
    </xf>
    <xf numFmtId="5" fontId="6" fillId="0" borderId="0" xfId="4" applyNumberFormat="1" applyFont="1" applyAlignment="1" applyProtection="1">
      <alignment horizontal="center" vertical="center"/>
      <protection locked="0"/>
    </xf>
    <xf numFmtId="165" fontId="5" fillId="3" borderId="0" xfId="21" applyNumberFormat="1" applyFont="1" applyFill="1" applyAlignment="1" applyProtection="1">
      <alignment vertical="center"/>
      <protection locked="0"/>
    </xf>
    <xf numFmtId="5" fontId="5" fillId="0" borderId="0" xfId="4" applyNumberFormat="1" applyFont="1" applyAlignment="1">
      <alignment horizontal="center" vertical="center"/>
    </xf>
    <xf numFmtId="5" fontId="5" fillId="0" borderId="0" xfId="4" applyNumberFormat="1" applyFont="1" applyBorder="1" applyAlignment="1" applyProtection="1">
      <alignment vertical="center"/>
      <protection locked="0"/>
    </xf>
    <xf numFmtId="5" fontId="5" fillId="0" borderId="0" xfId="4" applyNumberFormat="1" applyFont="1" applyAlignment="1" applyProtection="1">
      <alignment horizontal="center" vertical="center"/>
      <protection locked="0"/>
    </xf>
    <xf numFmtId="10" fontId="5" fillId="0" borderId="0" xfId="4" applyNumberFormat="1" applyFont="1" applyBorder="1" applyAlignment="1" applyProtection="1">
      <alignment vertical="center"/>
      <protection locked="0"/>
    </xf>
    <xf numFmtId="10" fontId="5" fillId="0" borderId="0" xfId="4" applyNumberFormat="1" applyFont="1" applyBorder="1" applyAlignment="1" applyProtection="1">
      <alignment horizontal="center" vertical="center"/>
      <protection locked="0"/>
    </xf>
    <xf numFmtId="10" fontId="5" fillId="2" borderId="126" xfId="4" applyNumberFormat="1" applyFont="1" applyFill="1" applyBorder="1" applyAlignment="1" applyProtection="1">
      <alignment horizontal="right" vertical="center"/>
      <protection locked="0"/>
    </xf>
    <xf numFmtId="5" fontId="5" fillId="0" borderId="0" xfId="4" applyNumberFormat="1" applyFont="1" applyFill="1" applyAlignment="1">
      <alignment horizontal="center" vertical="center"/>
    </xf>
    <xf numFmtId="165" fontId="5" fillId="0" borderId="0" xfId="21" applyNumberFormat="1" applyFont="1" applyBorder="1" applyAlignment="1" applyProtection="1">
      <alignment horizontal="right" vertical="center"/>
      <protection locked="0"/>
    </xf>
    <xf numFmtId="165" fontId="5" fillId="0" borderId="1" xfId="21" applyNumberFormat="1" applyFont="1" applyBorder="1" applyAlignment="1" applyProtection="1">
      <alignment horizontal="right" vertical="center"/>
      <protection locked="0"/>
    </xf>
    <xf numFmtId="165" fontId="5" fillId="3" borderId="126" xfId="21" applyNumberFormat="1" applyFont="1" applyFill="1" applyBorder="1" applyAlignment="1" applyProtection="1">
      <alignment horizontal="center" vertical="center"/>
      <protection locked="0"/>
    </xf>
    <xf numFmtId="166" fontId="5" fillId="0" borderId="0" xfId="2408" applyNumberFormat="1" applyFont="1" applyBorder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vertical="center"/>
      <protection locked="0"/>
    </xf>
    <xf numFmtId="0" fontId="10" fillId="0" borderId="0" xfId="4" applyFont="1" applyBorder="1" applyAlignment="1">
      <alignment vertical="center"/>
    </xf>
    <xf numFmtId="0" fontId="5" fillId="0" borderId="0" xfId="4" applyFont="1" applyFill="1" applyAlignment="1" applyProtection="1">
      <alignment horizontal="center" vertical="center"/>
    </xf>
    <xf numFmtId="0" fontId="9" fillId="0" borderId="0" xfId="4" applyFont="1" applyFill="1" applyAlignment="1">
      <alignment horizontal="center" vertical="center"/>
    </xf>
    <xf numFmtId="165" fontId="5" fillId="2" borderId="0" xfId="21" applyNumberFormat="1" applyFont="1" applyFill="1" applyAlignment="1" applyProtection="1">
      <alignment vertical="center"/>
      <protection locked="0"/>
    </xf>
    <xf numFmtId="5" fontId="5" fillId="0" borderId="0" xfId="4" applyNumberFormat="1" applyFont="1" applyFill="1" applyAlignment="1" applyProtection="1">
      <alignment horizontal="center" vertical="center"/>
      <protection locked="0"/>
    </xf>
    <xf numFmtId="165" fontId="5" fillId="0" borderId="0" xfId="21" applyNumberFormat="1" applyFont="1" applyFill="1" applyBorder="1" applyAlignment="1" applyProtection="1">
      <alignment vertical="center"/>
      <protection locked="0"/>
    </xf>
    <xf numFmtId="166" fontId="5" fillId="2" borderId="0" xfId="2408" applyNumberFormat="1" applyFont="1" applyFill="1" applyBorder="1" applyAlignment="1" applyProtection="1">
      <alignment horizontal="right" vertical="center"/>
      <protection locked="0"/>
    </xf>
    <xf numFmtId="166" fontId="5" fillId="0" borderId="0" xfId="2408" applyNumberFormat="1" applyFont="1" applyFill="1" applyBorder="1" applyAlignment="1" applyProtection="1">
      <alignment vertical="center"/>
      <protection locked="0"/>
    </xf>
    <xf numFmtId="166" fontId="5" fillId="2" borderId="126" xfId="1" applyNumberFormat="1" applyFont="1" applyFill="1" applyBorder="1" applyAlignment="1" applyProtection="1">
      <alignment vertical="center"/>
      <protection locked="0"/>
    </xf>
    <xf numFmtId="5" fontId="5" fillId="0" borderId="0" xfId="4" applyNumberFormat="1" applyFont="1" applyFill="1" applyBorder="1" applyAlignment="1" applyProtection="1">
      <alignment horizontal="center" vertical="center"/>
      <protection locked="0"/>
    </xf>
    <xf numFmtId="165" fontId="5" fillId="0" borderId="0" xfId="21" applyNumberFormat="1" applyFont="1" applyAlignment="1">
      <alignment horizontal="right" vertical="center"/>
    </xf>
    <xf numFmtId="10" fontId="5" fillId="3" borderId="126" xfId="3853" applyNumberFormat="1" applyFont="1" applyFill="1" applyBorder="1" applyAlignment="1">
      <alignment vertical="center"/>
    </xf>
    <xf numFmtId="10" fontId="5" fillId="0" borderId="0" xfId="3853" applyNumberFormat="1" applyFont="1" applyBorder="1" applyAlignment="1">
      <alignment vertical="center"/>
    </xf>
    <xf numFmtId="165" fontId="5" fillId="0" borderId="0" xfId="2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>
      <alignment vertical="center"/>
    </xf>
    <xf numFmtId="0" fontId="5" fillId="0" borderId="0" xfId="2606" applyFont="1" applyFill="1" applyAlignment="1">
      <alignment vertical="center"/>
    </xf>
    <xf numFmtId="0" fontId="11" fillId="0" borderId="0" xfId="4" quotePrefix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vertical="center"/>
      <protection locked="0"/>
    </xf>
    <xf numFmtId="5" fontId="157" fillId="0" borderId="0" xfId="4" applyNumberFormat="1" applyFont="1" applyAlignment="1">
      <alignment horizontal="center" vertical="center"/>
    </xf>
    <xf numFmtId="166" fontId="5" fillId="0" borderId="0" xfId="2408" applyNumberFormat="1" applyFont="1" applyFill="1" applyAlignment="1" applyProtection="1">
      <alignment vertical="center"/>
      <protection locked="0"/>
    </xf>
    <xf numFmtId="165" fontId="5" fillId="0" borderId="0" xfId="2" applyNumberFormat="1" applyFont="1" applyAlignment="1">
      <alignment vertical="center"/>
    </xf>
    <xf numFmtId="166" fontId="5" fillId="0" borderId="119" xfId="2408" applyNumberFormat="1" applyFont="1" applyFill="1" applyBorder="1" applyAlignment="1" applyProtection="1">
      <alignment vertical="center"/>
      <protection locked="0"/>
    </xf>
    <xf numFmtId="211" fontId="5" fillId="0" borderId="0" xfId="4" applyNumberFormat="1" applyFont="1" applyAlignment="1">
      <alignment vertical="center"/>
    </xf>
    <xf numFmtId="10" fontId="5" fillId="2" borderId="126" xfId="4" applyNumberFormat="1" applyFont="1" applyFill="1" applyBorder="1" applyAlignment="1">
      <alignment horizontal="right" vertical="center"/>
    </xf>
    <xf numFmtId="0" fontId="8" fillId="0" borderId="0" xfId="4" applyFont="1" applyAlignment="1" applyProtection="1">
      <alignment horizontal="center" vertical="center"/>
    </xf>
    <xf numFmtId="165" fontId="5" fillId="0" borderId="1" xfId="21" applyNumberFormat="1" applyFont="1" applyBorder="1" applyAlignment="1">
      <alignment horizontal="right" vertical="center"/>
    </xf>
    <xf numFmtId="0" fontId="5" fillId="0" borderId="11" xfId="4" applyFont="1" applyBorder="1" applyAlignment="1">
      <alignment vertical="center"/>
    </xf>
    <xf numFmtId="0" fontId="5" fillId="0" borderId="11" xfId="4" applyFont="1" applyBorder="1" applyAlignment="1">
      <alignment horizontal="right" vertical="center"/>
    </xf>
    <xf numFmtId="0" fontId="5" fillId="0" borderId="0" xfId="4" applyFont="1" applyBorder="1" applyAlignment="1">
      <alignment horizontal="right" vertical="center"/>
    </xf>
    <xf numFmtId="5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Border="1" applyAlignment="1">
      <alignment horizontal="right" vertical="center"/>
    </xf>
    <xf numFmtId="0" fontId="5" fillId="0" borderId="0" xfId="6107" applyFont="1"/>
    <xf numFmtId="165" fontId="5" fillId="0" borderId="0" xfId="21" applyNumberFormat="1" applyFont="1" applyFill="1" applyProtection="1">
      <protection locked="0"/>
    </xf>
    <xf numFmtId="165" fontId="5" fillId="0" borderId="1" xfId="21" applyNumberFormat="1" applyFont="1" applyFill="1" applyBorder="1" applyAlignment="1" applyProtection="1">
      <alignment vertical="center"/>
      <protection locked="0"/>
    </xf>
    <xf numFmtId="0" fontId="5" fillId="0" borderId="11" xfId="6107" applyFont="1" applyBorder="1"/>
    <xf numFmtId="0" fontId="6" fillId="0" borderId="11" xfId="4" applyFont="1" applyBorder="1" applyAlignment="1" applyProtection="1">
      <alignment horizontal="center" vertical="center"/>
    </xf>
    <xf numFmtId="0" fontId="5" fillId="0" borderId="11" xfId="4" applyFont="1" applyBorder="1" applyAlignment="1">
      <alignment horizontal="center" vertical="center"/>
    </xf>
    <xf numFmtId="166" fontId="5" fillId="3" borderId="126" xfId="1" applyNumberFormat="1" applyFont="1" applyFill="1" applyBorder="1" applyProtection="1">
      <protection locked="0"/>
    </xf>
    <xf numFmtId="0" fontId="5" fillId="0" borderId="0" xfId="4" applyFont="1" applyAlignment="1" applyProtection="1">
      <alignment vertical="center"/>
    </xf>
    <xf numFmtId="5" fontId="5" fillId="0" borderId="0" xfId="4" applyNumberFormat="1" applyFont="1" applyBorder="1" applyAlignment="1" applyProtection="1">
      <alignment horizontal="center" vertical="center"/>
      <protection locked="0"/>
    </xf>
    <xf numFmtId="0" fontId="5" fillId="0" borderId="0" xfId="4" quotePrefix="1" applyFont="1" applyAlignment="1" applyProtection="1">
      <alignment horizontal="center" vertical="center"/>
    </xf>
    <xf numFmtId="166" fontId="6" fillId="0" borderId="0" xfId="2408" applyNumberFormat="1" applyFont="1" applyAlignment="1" applyProtection="1">
      <alignment vertical="center"/>
      <protection locked="0"/>
    </xf>
    <xf numFmtId="166" fontId="5" fillId="3" borderId="0" xfId="2408" applyNumberFormat="1" applyFont="1" applyFill="1" applyBorder="1" applyAlignment="1" applyProtection="1">
      <alignment vertical="center"/>
      <protection locked="0"/>
    </xf>
    <xf numFmtId="10" fontId="5" fillId="0" borderId="0" xfId="4" applyNumberFormat="1" applyFont="1" applyAlignment="1" applyProtection="1">
      <alignment horizontal="center" vertical="center"/>
      <protection locked="0"/>
    </xf>
    <xf numFmtId="166" fontId="5" fillId="3" borderId="0" xfId="2408" applyNumberFormat="1" applyFont="1" applyFill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horizontal="right" vertical="center"/>
      <protection locked="0"/>
    </xf>
    <xf numFmtId="5" fontId="9" fillId="0" borderId="0" xfId="4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vertical="center"/>
    </xf>
    <xf numFmtId="15" fontId="5" fillId="0" borderId="126" xfId="0" applyNumberFormat="1" applyFont="1" applyBorder="1" applyAlignment="1">
      <alignment horizontal="center" vertical="center"/>
    </xf>
    <xf numFmtId="0" fontId="5" fillId="0" borderId="119" xfId="0" applyFont="1" applyBorder="1" applyAlignment="1">
      <alignment horizontal="center" vertical="center"/>
    </xf>
    <xf numFmtId="5" fontId="5" fillId="0" borderId="0" xfId="0" applyNumberFormat="1" applyFont="1" applyAlignment="1">
      <alignment horizontal="center" vertical="center"/>
    </xf>
    <xf numFmtId="165" fontId="5" fillId="3" borderId="0" xfId="2" applyNumberFormat="1" applyFont="1" applyFill="1" applyAlignment="1" applyProtection="1">
      <alignment vertical="center"/>
      <protection locked="0"/>
    </xf>
    <xf numFmtId="5" fontId="5" fillId="0" borderId="0" xfId="0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 applyProtection="1">
      <alignment vertical="center"/>
      <protection locked="0"/>
    </xf>
    <xf numFmtId="166" fontId="5" fillId="3" borderId="0" xfId="1" applyNumberFormat="1" applyFont="1" applyFill="1" applyAlignment="1" applyProtection="1">
      <alignment vertical="center"/>
      <protection locked="0"/>
    </xf>
    <xf numFmtId="166" fontId="5" fillId="0" borderId="0" xfId="1" applyNumberFormat="1" applyFont="1" applyAlignment="1" applyProtection="1">
      <alignment vertical="center"/>
      <protection locked="0"/>
    </xf>
    <xf numFmtId="166" fontId="5" fillId="0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  <protection locked="0"/>
    </xf>
    <xf numFmtId="165" fontId="5" fillId="0" borderId="0" xfId="2" applyNumberFormat="1" applyFont="1" applyAlignment="1">
      <alignment horizontal="center" vertical="center"/>
    </xf>
    <xf numFmtId="10" fontId="5" fillId="0" borderId="0" xfId="3" applyNumberFormat="1" applyFont="1" applyBorder="1" applyAlignment="1" applyProtection="1">
      <alignment horizontal="center" vertical="center"/>
      <protection locked="0"/>
    </xf>
    <xf numFmtId="10" fontId="5" fillId="0" borderId="0" xfId="3" applyNumberFormat="1" applyFont="1" applyBorder="1" applyAlignment="1" applyProtection="1">
      <alignment vertical="center"/>
      <protection locked="0"/>
    </xf>
    <xf numFmtId="0" fontId="6" fillId="0" borderId="0" xfId="4" quotePrefix="1" applyFont="1" applyAlignment="1" applyProtection="1">
      <alignment horizontal="center" vertical="center"/>
    </xf>
    <xf numFmtId="0" fontId="11" fillId="0" borderId="0" xfId="0" applyFont="1" applyAlignment="1">
      <alignment horizontal="center"/>
    </xf>
    <xf numFmtId="0" fontId="6" fillId="0" borderId="0" xfId="4" applyFont="1" applyAlignment="1" applyProtection="1">
      <alignment vertical="center"/>
    </xf>
    <xf numFmtId="0" fontId="29" fillId="0" borderId="137" xfId="1962" applyFont="1" applyBorder="1" applyAlignment="1">
      <alignment horizontal="center"/>
    </xf>
    <xf numFmtId="0" fontId="5" fillId="0" borderId="9" xfId="37887" quotePrefix="1" applyNumberFormat="1" applyFont="1" applyFill="1" applyBorder="1" applyAlignment="1">
      <alignment vertical="center"/>
    </xf>
    <xf numFmtId="0" fontId="27" fillId="0" borderId="9" xfId="1962" applyFont="1" applyBorder="1"/>
    <xf numFmtId="0" fontId="29" fillId="0" borderId="9" xfId="1962" applyFont="1" applyFill="1" applyBorder="1"/>
    <xf numFmtId="0" fontId="29" fillId="0" borderId="56" xfId="1962" applyFont="1" applyFill="1" applyBorder="1"/>
    <xf numFmtId="0" fontId="29" fillId="0" borderId="4" xfId="1962" applyFont="1" applyFill="1" applyBorder="1"/>
    <xf numFmtId="0" fontId="29" fillId="0" borderId="141" xfId="1962" applyFont="1" applyFill="1" applyBorder="1"/>
    <xf numFmtId="0" fontId="5" fillId="0" borderId="0" xfId="0" quotePrefix="1" applyFont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15" fontId="5" fillId="2" borderId="126" xfId="4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41" fontId="5" fillId="0" borderId="126" xfId="0" applyNumberFormat="1" applyFont="1" applyBorder="1" applyAlignment="1">
      <alignment vertical="center"/>
    </xf>
    <xf numFmtId="0" fontId="5" fillId="0" borderId="0" xfId="0" applyFont="1" applyFill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11" fillId="0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6" fontId="6" fillId="0" borderId="0" xfId="1" applyNumberFormat="1" applyFont="1" applyAlignment="1">
      <alignment vertical="center"/>
    </xf>
    <xf numFmtId="166" fontId="11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65" fontId="5" fillId="0" borderId="94" xfId="37039" applyNumberFormat="1" applyFont="1" applyBorder="1" applyAlignment="1">
      <alignment horizontal="center"/>
    </xf>
    <xf numFmtId="41" fontId="5" fillId="0" borderId="94" xfId="3857" applyFont="1" applyBorder="1" applyAlignment="1">
      <alignment horizontal="center"/>
    </xf>
    <xf numFmtId="165" fontId="5" fillId="0" borderId="94" xfId="37039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left" vertical="center"/>
    </xf>
    <xf numFmtId="0" fontId="27" fillId="0" borderId="0" xfId="0" applyFont="1" applyAlignment="1">
      <alignment vertical="center" wrapText="1"/>
    </xf>
    <xf numFmtId="165" fontId="5" fillId="0" borderId="0" xfId="21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Border="1" applyAlignment="1" applyProtection="1">
      <alignment horizontal="center" vertical="center"/>
      <protection locked="0"/>
    </xf>
    <xf numFmtId="165" fontId="5" fillId="3" borderId="0" xfId="21" applyNumberFormat="1" applyFont="1" applyFill="1" applyBorder="1" applyAlignment="1" applyProtection="1">
      <alignment vertical="center"/>
      <protection locked="0"/>
    </xf>
    <xf numFmtId="5" fontId="9" fillId="0" borderId="0" xfId="4" applyNumberFormat="1" applyFont="1" applyAlignment="1">
      <alignment horizontal="center" vertical="center"/>
    </xf>
    <xf numFmtId="165" fontId="5" fillId="3" borderId="0" xfId="2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Alignment="1" applyProtection="1">
      <alignment horizontal="center" vertical="center"/>
      <protection locked="0"/>
    </xf>
    <xf numFmtId="165" fontId="5" fillId="0" borderId="0" xfId="2" applyNumberFormat="1" applyFont="1" applyBorder="1" applyAlignment="1" applyProtection="1">
      <alignment horizontal="right" vertical="center"/>
      <protection locked="0"/>
    </xf>
    <xf numFmtId="5" fontId="5" fillId="0" borderId="0" xfId="4" applyNumberFormat="1" applyFont="1" applyBorder="1" applyAlignment="1" applyProtection="1">
      <alignment horizontal="right" vertical="center"/>
      <protection locked="0"/>
    </xf>
    <xf numFmtId="165" fontId="5" fillId="0" borderId="0" xfId="21" applyNumberFormat="1" applyFont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horizontal="right" vertical="center"/>
      <protection locked="0"/>
    </xf>
    <xf numFmtId="166" fontId="5" fillId="0" borderId="126" xfId="2408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vertical="center" wrapText="1"/>
    </xf>
    <xf numFmtId="164" fontId="5" fillId="3" borderId="126" xfId="4" applyNumberFormat="1" applyFont="1" applyFill="1" applyBorder="1" applyAlignment="1">
      <alignment horizontal="center" vertical="center"/>
    </xf>
    <xf numFmtId="15" fontId="5" fillId="3" borderId="126" xfId="4" applyNumberFormat="1" applyFont="1" applyFill="1" applyBorder="1" applyAlignment="1">
      <alignment horizontal="center" vertical="center"/>
    </xf>
    <xf numFmtId="0" fontId="5" fillId="0" borderId="126" xfId="4" applyNumberFormat="1" applyFont="1" applyBorder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10" fillId="0" borderId="0" xfId="4" applyNumberFormat="1" applyFont="1" applyAlignment="1">
      <alignment horizontal="center" vertical="center"/>
    </xf>
    <xf numFmtId="0" fontId="5" fillId="0" borderId="0" xfId="21" applyNumberFormat="1" applyFont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/>
    </xf>
    <xf numFmtId="0" fontId="5" fillId="0" borderId="0" xfId="4" applyFont="1" applyFill="1" applyBorder="1" applyAlignment="1">
      <alignment horizontal="center" vertical="center"/>
    </xf>
    <xf numFmtId="0" fontId="5" fillId="0" borderId="0" xfId="21" applyNumberFormat="1" applyFont="1" applyFill="1" applyBorder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 wrapText="1"/>
    </xf>
    <xf numFmtId="166" fontId="5" fillId="0" borderId="126" xfId="2408" applyNumberFormat="1" applyFont="1" applyBorder="1" applyAlignment="1" applyProtection="1">
      <alignment vertical="center"/>
      <protection locked="0"/>
    </xf>
    <xf numFmtId="165" fontId="6" fillId="0" borderId="0" xfId="21" applyNumberFormat="1" applyFont="1" applyBorder="1" applyAlignment="1">
      <alignment vertical="center"/>
    </xf>
    <xf numFmtId="165" fontId="9" fillId="0" borderId="0" xfId="21" applyNumberFormat="1" applyFont="1" applyAlignment="1">
      <alignment horizontal="left" vertical="center"/>
    </xf>
    <xf numFmtId="5" fontId="5" fillId="0" borderId="0" xfId="4" applyNumberFormat="1" applyFont="1" applyAlignment="1">
      <alignment vertical="center"/>
    </xf>
    <xf numFmtId="10" fontId="5" fillId="0" borderId="0" xfId="4" applyNumberFormat="1" applyFont="1" applyAlignment="1">
      <alignment vertical="center"/>
    </xf>
    <xf numFmtId="166" fontId="5" fillId="0" borderId="0" xfId="2408" applyNumberFormat="1" applyFont="1" applyBorder="1" applyAlignment="1">
      <alignment horizontal="center" vertical="center"/>
    </xf>
    <xf numFmtId="0" fontId="5" fillId="0" borderId="0" xfId="21" applyNumberFormat="1" applyFont="1" applyBorder="1" applyAlignment="1">
      <alignment horizontal="center" vertical="center"/>
    </xf>
    <xf numFmtId="5" fontId="5" fillId="0" borderId="0" xfId="4" applyNumberFormat="1" applyFont="1" applyBorder="1" applyAlignment="1">
      <alignment vertical="center"/>
    </xf>
    <xf numFmtId="166" fontId="5" fillId="0" borderId="0" xfId="2408" applyNumberFormat="1" applyFont="1" applyBorder="1" applyAlignment="1">
      <alignment horizontal="right" vertical="center"/>
    </xf>
    <xf numFmtId="5" fontId="5" fillId="0" borderId="0" xfId="4" applyNumberFormat="1" applyFont="1" applyBorder="1" applyAlignment="1">
      <alignment horizontal="right" vertical="center"/>
    </xf>
    <xf numFmtId="166" fontId="5" fillId="0" borderId="0" xfId="2408" applyNumberFormat="1" applyFont="1" applyAlignment="1">
      <alignment horizontal="right" vertical="center"/>
    </xf>
    <xf numFmtId="166" fontId="5" fillId="0" borderId="126" xfId="2408" applyNumberFormat="1" applyFont="1" applyBorder="1" applyAlignment="1">
      <alignment horizontal="right" vertical="center"/>
    </xf>
    <xf numFmtId="166" fontId="5" fillId="0" borderId="0" xfId="2408" applyNumberFormat="1" applyFont="1" applyAlignment="1" applyProtection="1">
      <alignment vertical="center"/>
    </xf>
    <xf numFmtId="5" fontId="5" fillId="0" borderId="0" xfId="4" applyNumberFormat="1" applyFont="1" applyAlignment="1" applyProtection="1">
      <alignment horizontal="center" vertical="center"/>
    </xf>
    <xf numFmtId="166" fontId="5" fillId="0" borderId="0" xfId="2408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horizontal="center" vertical="center"/>
    </xf>
    <xf numFmtId="165" fontId="5" fillId="0" borderId="1" xfId="21" applyNumberFormat="1" applyFont="1" applyBorder="1" applyAlignment="1" applyProtection="1">
      <alignment horizontal="right" vertical="center"/>
    </xf>
    <xf numFmtId="5" fontId="5" fillId="0" borderId="0" xfId="3853" applyNumberFormat="1" applyFont="1" applyAlignment="1" applyProtection="1">
      <alignment vertical="center"/>
    </xf>
    <xf numFmtId="5" fontId="5" fillId="0" borderId="0" xfId="3853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vertical="center"/>
    </xf>
    <xf numFmtId="10" fontId="5" fillId="0" borderId="1" xfId="21" applyNumberFormat="1" applyFont="1" applyBorder="1" applyAlignment="1" applyProtection="1">
      <alignment horizontal="right" vertical="center"/>
    </xf>
    <xf numFmtId="165" fontId="5" fillId="0" borderId="0" xfId="21" applyNumberFormat="1" applyFont="1" applyBorder="1" applyAlignment="1">
      <alignment horizontal="center" vertical="center"/>
    </xf>
    <xf numFmtId="0" fontId="5" fillId="0" borderId="0" xfId="4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166" fontId="5" fillId="0" borderId="0" xfId="0" applyNumberFormat="1" applyFont="1" applyAlignment="1" applyProtection="1">
      <alignment horizontal="center" vertical="center"/>
    </xf>
    <xf numFmtId="15" fontId="5" fillId="0" borderId="0" xfId="0" applyNumberFormat="1" applyFont="1" applyAlignment="1" applyProtection="1">
      <alignment horizontal="center" vertical="center"/>
    </xf>
    <xf numFmtId="0" fontId="5" fillId="0" borderId="126" xfId="0" applyNumberFormat="1" applyFont="1" applyBorder="1" applyAlignment="1">
      <alignment horizontal="center" vertical="center"/>
    </xf>
    <xf numFmtId="15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10" fillId="0" borderId="0" xfId="0" applyFont="1" applyAlignment="1" applyProtection="1">
      <alignment vertical="center"/>
    </xf>
    <xf numFmtId="165" fontId="5" fillId="0" borderId="119" xfId="2" applyNumberFormat="1" applyFont="1" applyBorder="1" applyAlignment="1">
      <alignment vertical="center"/>
    </xf>
    <xf numFmtId="0" fontId="5" fillId="0" borderId="0" xfId="2" applyNumberFormat="1" applyFont="1" applyAlignment="1">
      <alignment horizontal="center" vertical="center"/>
    </xf>
    <xf numFmtId="0" fontId="5" fillId="0" borderId="0" xfId="0" applyNumberFormat="1" applyFont="1" applyAlignment="1">
      <alignment vertical="center"/>
    </xf>
    <xf numFmtId="166" fontId="5" fillId="0" borderId="0" xfId="1" applyNumberFormat="1" applyFont="1" applyBorder="1" applyAlignment="1" applyProtection="1">
      <alignment vertical="center"/>
      <protection locked="0"/>
    </xf>
    <xf numFmtId="166" fontId="5" fillId="0" borderId="0" xfId="0" applyNumberFormat="1" applyFont="1" applyAlignment="1">
      <alignment vertical="center"/>
    </xf>
    <xf numFmtId="0" fontId="5" fillId="0" borderId="0" xfId="0" applyFont="1" applyFill="1" applyAlignment="1" applyProtection="1">
      <alignment horizontal="left" vertical="center"/>
    </xf>
    <xf numFmtId="165" fontId="5" fillId="0" borderId="0" xfId="2" applyNumberFormat="1" applyFont="1" applyFill="1" applyBorder="1" applyAlignment="1" applyProtection="1">
      <alignment vertical="center"/>
      <protection locked="0"/>
    </xf>
    <xf numFmtId="10" fontId="5" fillId="2" borderId="126" xfId="0" applyNumberFormat="1" applyFont="1" applyFill="1" applyBorder="1" applyAlignment="1" applyProtection="1">
      <alignment horizontal="right" vertical="center"/>
    </xf>
    <xf numFmtId="165" fontId="5" fillId="0" borderId="119" xfId="2" applyNumberFormat="1" applyFont="1" applyBorder="1" applyAlignment="1">
      <alignment horizontal="right" vertical="center"/>
    </xf>
    <xf numFmtId="166" fontId="5" fillId="0" borderId="126" xfId="1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</xf>
    <xf numFmtId="165" fontId="5" fillId="0" borderId="0" xfId="2" applyNumberFormat="1" applyFont="1" applyBorder="1" applyAlignment="1">
      <alignment horizontal="right" vertical="center"/>
    </xf>
    <xf numFmtId="5" fontId="5" fillId="0" borderId="0" xfId="0" applyNumberFormat="1" applyFont="1" applyAlignment="1">
      <alignment horizontal="right" vertical="center"/>
    </xf>
    <xf numFmtId="165" fontId="5" fillId="2" borderId="0" xfId="2" applyNumberFormat="1" applyFont="1" applyFill="1" applyAlignment="1">
      <alignment horizontal="right" vertical="center"/>
    </xf>
    <xf numFmtId="0" fontId="5" fillId="0" borderId="0" xfId="0" applyNumberFormat="1" applyFont="1" applyFill="1" applyAlignment="1">
      <alignment horizontal="center" vertical="center"/>
    </xf>
    <xf numFmtId="166" fontId="5" fillId="111" borderId="0" xfId="1" applyNumberFormat="1" applyFont="1" applyFill="1" applyAlignment="1">
      <alignment horizontal="right" vertical="center"/>
    </xf>
    <xf numFmtId="166" fontId="5" fillId="2" borderId="0" xfId="1" applyNumberFormat="1" applyFont="1" applyFill="1" applyAlignment="1">
      <alignment horizontal="right" vertical="center"/>
    </xf>
    <xf numFmtId="0" fontId="5" fillId="0" borderId="0" xfId="2" applyNumberFormat="1" applyFont="1" applyFill="1" applyAlignment="1">
      <alignment horizontal="center" vertical="center"/>
    </xf>
    <xf numFmtId="166" fontId="5" fillId="2" borderId="126" xfId="1" applyNumberFormat="1" applyFont="1" applyFill="1" applyBorder="1" applyAlignment="1" applyProtection="1">
      <alignment horizontal="right" vertical="center"/>
    </xf>
    <xf numFmtId="165" fontId="5" fillId="0" borderId="46" xfId="2" applyNumberFormat="1" applyFont="1" applyBorder="1" applyAlignment="1">
      <alignment horizontal="right" vertical="center"/>
    </xf>
    <xf numFmtId="165" fontId="5" fillId="0" borderId="0" xfId="2" applyNumberFormat="1" applyFont="1" applyFill="1" applyAlignment="1">
      <alignment vertical="center"/>
    </xf>
    <xf numFmtId="166" fontId="5" fillId="2" borderId="0" xfId="1" applyNumberFormat="1" applyFont="1" applyFill="1" applyAlignment="1">
      <alignment vertical="center"/>
    </xf>
    <xf numFmtId="166" fontId="5" fillId="2" borderId="126" xfId="1" applyNumberFormat="1" applyFont="1" applyFill="1" applyBorder="1" applyAlignment="1">
      <alignment vertical="center"/>
    </xf>
    <xf numFmtId="165" fontId="5" fillId="0" borderId="46" xfId="2" applyNumberFormat="1" applyFont="1" applyBorder="1" applyAlignment="1">
      <alignment vertical="center"/>
    </xf>
    <xf numFmtId="5" fontId="5" fillId="0" borderId="0" xfId="0" applyNumberFormat="1" applyFont="1" applyBorder="1" applyAlignment="1" applyProtection="1">
      <alignment vertical="center"/>
      <protection locked="0"/>
    </xf>
    <xf numFmtId="10" fontId="5" fillId="0" borderId="1" xfId="2" applyNumberFormat="1" applyFont="1" applyBorder="1" applyAlignment="1">
      <alignment horizontal="right" vertical="center"/>
    </xf>
    <xf numFmtId="165" fontId="5" fillId="0" borderId="0" xfId="0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/>
    </xf>
    <xf numFmtId="165" fontId="5" fillId="0" borderId="1" xfId="2" applyNumberFormat="1" applyFont="1" applyFill="1" applyBorder="1" applyAlignment="1">
      <alignment horizontal="right" vertical="center"/>
    </xf>
    <xf numFmtId="0" fontId="6" fillId="0" borderId="0" xfId="2083" applyFont="1" applyAlignment="1" applyProtection="1">
      <alignment horizontal="left" vertical="center"/>
    </xf>
    <xf numFmtId="5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57" fillId="0" borderId="0" xfId="0" applyFont="1" applyAlignment="1">
      <alignment horizontal="center" vertical="center" wrapText="1"/>
    </xf>
    <xf numFmtId="165" fontId="5" fillId="0" borderId="124" xfId="2" applyNumberFormat="1" applyFont="1" applyBorder="1" applyAlignment="1" applyProtection="1">
      <alignment vertical="center"/>
      <protection locked="0"/>
    </xf>
    <xf numFmtId="10" fontId="5" fillId="0" borderId="1" xfId="3" applyNumberFormat="1" applyFont="1" applyBorder="1" applyAlignment="1">
      <alignment horizontal="right" vertical="center"/>
    </xf>
    <xf numFmtId="10" fontId="5" fillId="0" borderId="0" xfId="3" applyNumberFormat="1" applyFont="1" applyBorder="1" applyAlignment="1">
      <alignment horizontal="right" vertical="center"/>
    </xf>
    <xf numFmtId="165" fontId="5" fillId="3" borderId="126" xfId="2" applyNumberFormat="1" applyFont="1" applyFill="1" applyBorder="1" applyAlignment="1" applyProtection="1">
      <alignment vertical="center"/>
      <protection locked="0"/>
    </xf>
    <xf numFmtId="166" fontId="5" fillId="0" borderId="0" xfId="1" applyNumberFormat="1" applyFont="1" applyFill="1" applyAlignment="1" applyProtection="1">
      <alignment vertical="center"/>
      <protection locked="0"/>
    </xf>
    <xf numFmtId="165" fontId="5" fillId="0" borderId="46" xfId="2" applyNumberFormat="1" applyFont="1" applyBorder="1" applyAlignment="1" applyProtection="1">
      <alignment vertical="center"/>
    </xf>
    <xf numFmtId="165" fontId="5" fillId="0" borderId="0" xfId="2" applyNumberFormat="1" applyFont="1" applyBorder="1" applyAlignment="1" applyProtection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1" xfId="0" applyFont="1" applyBorder="1" applyAlignment="1" applyProtection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0" xfId="0" applyFont="1" applyBorder="1" applyAlignment="1" applyProtection="1">
      <alignment vertical="center"/>
    </xf>
    <xf numFmtId="10" fontId="5" fillId="3" borderId="1" xfId="3" applyNumberFormat="1" applyFont="1" applyFill="1" applyBorder="1" applyAlignment="1">
      <alignment vertical="center"/>
    </xf>
    <xf numFmtId="0" fontId="5" fillId="0" borderId="0" xfId="0" quotePrefix="1" applyFont="1" applyAlignment="1">
      <alignment horizontal="center" vertical="center"/>
    </xf>
    <xf numFmtId="10" fontId="5" fillId="0" borderId="0" xfId="3" applyNumberFormat="1" applyFont="1" applyFill="1" applyAlignment="1">
      <alignment horizontal="right" vertical="center"/>
    </xf>
    <xf numFmtId="10" fontId="5" fillId="0" borderId="0" xfId="0" applyNumberFormat="1" applyFont="1" applyFill="1" applyAlignment="1">
      <alignment horizontal="right" vertical="center"/>
    </xf>
    <xf numFmtId="10" fontId="5" fillId="0" borderId="0" xfId="3" applyNumberFormat="1" applyFont="1" applyAlignment="1">
      <alignment horizontal="right" vertical="center"/>
    </xf>
    <xf numFmtId="166" fontId="5" fillId="0" borderId="0" xfId="1" applyNumberFormat="1" applyFont="1" applyFill="1" applyAlignment="1">
      <alignment vertical="center"/>
    </xf>
    <xf numFmtId="10" fontId="5" fillId="0" borderId="126" xfId="3" applyNumberFormat="1" applyFont="1" applyFill="1" applyBorder="1" applyAlignment="1">
      <alignment horizontal="right" vertical="center"/>
    </xf>
    <xf numFmtId="10" fontId="5" fillId="0" borderId="0" xfId="0" applyNumberFormat="1" applyFont="1" applyFill="1" applyBorder="1" applyAlignment="1">
      <alignment vertical="center"/>
    </xf>
    <xf numFmtId="10" fontId="5" fillId="0" borderId="126" xfId="3" applyNumberFormat="1" applyFont="1" applyBorder="1" applyAlignment="1">
      <alignment horizontal="right" vertical="center"/>
    </xf>
    <xf numFmtId="165" fontId="5" fillId="0" borderId="46" xfId="0" applyNumberFormat="1" applyFont="1" applyFill="1" applyBorder="1" applyAlignment="1">
      <alignment vertical="center"/>
    </xf>
    <xf numFmtId="10" fontId="5" fillId="0" borderId="1" xfId="3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5" fillId="0" borderId="0" xfId="0" quotePrefix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0" fontId="5" fillId="0" borderId="0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175" fontId="5" fillId="0" borderId="0" xfId="0" applyNumberFormat="1" applyFont="1" applyAlignment="1">
      <alignment horizontal="center" vertical="center" wrapText="1"/>
    </xf>
    <xf numFmtId="10" fontId="5" fillId="2" borderId="0" xfId="3" applyNumberFormat="1" applyFont="1" applyFill="1" applyAlignment="1">
      <alignment horizontal="right" vertical="center"/>
    </xf>
    <xf numFmtId="0" fontId="5" fillId="0" borderId="0" xfId="0" applyFont="1" applyAlignment="1" applyProtection="1">
      <alignment horizontal="center" vertical="center" wrapText="1"/>
    </xf>
    <xf numFmtId="165" fontId="5" fillId="2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Alignment="1">
      <alignment horizontal="center" vertical="center"/>
    </xf>
    <xf numFmtId="1" fontId="6" fillId="0" borderId="0" xfId="0" applyNumberFormat="1" applyFont="1" applyAlignment="1" applyProtection="1">
      <alignment horizontal="center" vertical="center"/>
    </xf>
    <xf numFmtId="10" fontId="5" fillId="0" borderId="0" xfId="3" applyNumberFormat="1" applyFont="1" applyAlignment="1">
      <alignment vertical="center"/>
    </xf>
    <xf numFmtId="0" fontId="5" fillId="3" borderId="126" xfId="3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167" fontId="5" fillId="0" borderId="0" xfId="3" applyNumberFormat="1" applyFont="1" applyAlignment="1">
      <alignment horizontal="right" vertical="center"/>
    </xf>
    <xf numFmtId="167" fontId="6" fillId="0" borderId="0" xfId="3" applyNumberFormat="1" applyFont="1" applyAlignment="1">
      <alignment vertical="center"/>
    </xf>
    <xf numFmtId="0" fontId="5" fillId="0" borderId="0" xfId="0" quotePrefix="1" applyFont="1" applyAlignment="1">
      <alignment vertical="center"/>
    </xf>
    <xf numFmtId="175" fontId="5" fillId="0" borderId="0" xfId="0" applyNumberFormat="1" applyFont="1" applyAlignment="1">
      <alignment horizontal="center" vertical="center"/>
    </xf>
    <xf numFmtId="175" fontId="6" fillId="0" borderId="0" xfId="0" applyNumberFormat="1" applyFont="1" applyAlignment="1" applyProtection="1">
      <alignment horizontal="center" vertical="center" wrapText="1"/>
    </xf>
    <xf numFmtId="175" fontId="6" fillId="0" borderId="0" xfId="0" applyNumberFormat="1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wrapText="1"/>
    </xf>
    <xf numFmtId="165" fontId="5" fillId="0" borderId="0" xfId="2" applyNumberFormat="1" applyFont="1" applyFill="1" applyAlignment="1">
      <alignment horizontal="right" vertical="center"/>
    </xf>
    <xf numFmtId="167" fontId="5" fillId="0" borderId="0" xfId="3" applyNumberFormat="1" applyFont="1" applyFill="1" applyAlignment="1">
      <alignment horizontal="right" vertical="center"/>
    </xf>
    <xf numFmtId="9" fontId="5" fillId="0" borderId="0" xfId="3" applyFont="1" applyAlignment="1">
      <alignment horizontal="right" vertical="center"/>
    </xf>
    <xf numFmtId="167" fontId="5" fillId="0" borderId="126" xfId="3" applyNumberFormat="1" applyFont="1" applyBorder="1" applyAlignment="1">
      <alignment horizontal="right" vertical="center"/>
    </xf>
    <xf numFmtId="167" fontId="5" fillId="0" borderId="0" xfId="3" applyNumberFormat="1" applyFont="1" applyBorder="1" applyAlignment="1">
      <alignment horizontal="right" vertical="center"/>
    </xf>
    <xf numFmtId="167" fontId="5" fillId="2" borderId="126" xfId="3" applyNumberFormat="1" applyFont="1" applyFill="1" applyBorder="1" applyAlignment="1">
      <alignment horizontal="right" vertical="center"/>
    </xf>
    <xf numFmtId="167" fontId="5" fillId="0" borderId="1" xfId="3" applyNumberFormat="1" applyFont="1" applyBorder="1" applyAlignment="1">
      <alignment horizontal="right" vertical="center"/>
    </xf>
    <xf numFmtId="167" fontId="6" fillId="0" borderId="0" xfId="3" applyNumberFormat="1" applyFont="1" applyAlignment="1">
      <alignment horizontal="center" vertical="center"/>
    </xf>
    <xf numFmtId="167" fontId="6" fillId="0" borderId="0" xfId="0" applyNumberFormat="1" applyFont="1" applyFill="1" applyBorder="1" applyAlignment="1">
      <alignment horizontal="right" vertical="center"/>
    </xf>
    <xf numFmtId="5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vertical="center"/>
    </xf>
    <xf numFmtId="5" fontId="5" fillId="0" borderId="0" xfId="0" applyNumberFormat="1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right" vertical="center" wrapText="1"/>
    </xf>
    <xf numFmtId="0" fontId="27" fillId="0" borderId="0" xfId="0" applyFont="1" applyBorder="1" applyAlignment="1">
      <alignment horizontal="center" vertical="center"/>
    </xf>
    <xf numFmtId="5" fontId="5" fillId="0" borderId="81" xfId="4" applyNumberFormat="1" applyFont="1" applyFill="1" applyBorder="1" applyAlignment="1" applyProtection="1">
      <alignment horizontal="center"/>
    </xf>
    <xf numFmtId="10" fontId="5" fillId="0" borderId="0" xfId="3" quotePrefix="1" applyNumberFormat="1" applyFont="1" applyBorder="1" applyAlignment="1">
      <alignment horizontal="right"/>
    </xf>
    <xf numFmtId="0" fontId="6" fillId="0" borderId="137" xfId="1567" applyFont="1" applyFill="1" applyBorder="1" applyAlignment="1">
      <alignment horizontal="center" wrapText="1"/>
    </xf>
    <xf numFmtId="168" fontId="5" fillId="0" borderId="94" xfId="4" applyNumberFormat="1" applyFont="1" applyFill="1" applyBorder="1" applyAlignment="1">
      <alignment horizontal="center" vertical="center"/>
    </xf>
    <xf numFmtId="166" fontId="5" fillId="0" borderId="94" xfId="4" applyNumberFormat="1" applyFont="1" applyFill="1" applyBorder="1" applyAlignment="1">
      <alignment horizontal="center" vertical="center"/>
    </xf>
    <xf numFmtId="0" fontId="5" fillId="0" borderId="94" xfId="4" applyNumberFormat="1" applyFont="1" applyFill="1" applyBorder="1" applyAlignment="1">
      <alignment horizontal="center" vertical="center"/>
    </xf>
    <xf numFmtId="0" fontId="5" fillId="0" borderId="94" xfId="4" applyNumberFormat="1" applyFont="1" applyBorder="1" applyAlignment="1">
      <alignment horizontal="center" vertical="center"/>
    </xf>
    <xf numFmtId="166" fontId="5" fillId="0" borderId="94" xfId="1" applyNumberFormat="1" applyFont="1" applyBorder="1" applyAlignment="1">
      <alignment horizontal="center" vertical="center"/>
    </xf>
    <xf numFmtId="165" fontId="6" fillId="0" borderId="128" xfId="21" applyNumberFormat="1" applyFont="1" applyFill="1" applyBorder="1" applyAlignment="1">
      <alignment horizontal="center" vertical="center"/>
    </xf>
    <xf numFmtId="165" fontId="5" fillId="0" borderId="0" xfId="1963" applyNumberFormat="1" applyFont="1" applyBorder="1" applyAlignment="1">
      <alignment horizontal="right"/>
    </xf>
    <xf numFmtId="166" fontId="5" fillId="0" borderId="0" xfId="1" applyNumberFormat="1" applyFont="1" applyFill="1"/>
    <xf numFmtId="0" fontId="6" fillId="0" borderId="145" xfId="4" applyFont="1" applyFill="1" applyBorder="1" applyAlignment="1">
      <alignment horizontal="left" vertical="center"/>
    </xf>
    <xf numFmtId="0" fontId="6" fillId="0" borderId="145" xfId="4" applyFont="1" applyFill="1" applyBorder="1" applyAlignment="1">
      <alignment horizontal="center" vertical="center"/>
    </xf>
    <xf numFmtId="0" fontId="6" fillId="0" borderId="50" xfId="4" applyFont="1" applyFill="1" applyBorder="1" applyAlignment="1">
      <alignment horizontal="centerContinuous" vertical="center"/>
    </xf>
    <xf numFmtId="0" fontId="6" fillId="0" borderId="91" xfId="4" applyFont="1" applyFill="1" applyBorder="1" applyAlignment="1">
      <alignment horizontal="center" vertical="center"/>
    </xf>
    <xf numFmtId="0" fontId="5" fillId="0" borderId="93" xfId="4" applyFont="1" applyFill="1" applyBorder="1" applyAlignment="1">
      <alignment horizontal="right" vertical="center"/>
    </xf>
    <xf numFmtId="0" fontId="5" fillId="0" borderId="50" xfId="4" applyFont="1" applyFill="1" applyBorder="1" applyAlignment="1">
      <alignment horizontal="center" vertical="center"/>
    </xf>
    <xf numFmtId="2" fontId="27" fillId="0" borderId="0" xfId="0" applyNumberFormat="1" applyFont="1" applyAlignment="1">
      <alignment vertical="center"/>
    </xf>
    <xf numFmtId="17" fontId="5" fillId="0" borderId="93" xfId="4" applyNumberFormat="1" applyFont="1" applyFill="1" applyBorder="1" applyAlignment="1">
      <alignment horizontal="left" vertical="center"/>
    </xf>
    <xf numFmtId="165" fontId="5" fillId="0" borderId="94" xfId="21" applyNumberFormat="1" applyFont="1" applyBorder="1" applyAlignment="1">
      <alignment horizontal="center" vertical="center"/>
    </xf>
    <xf numFmtId="165" fontId="5" fillId="0" borderId="94" xfId="2" applyNumberFormat="1" applyFont="1" applyFill="1" applyBorder="1" applyAlignment="1">
      <alignment horizontal="center" vertical="center"/>
    </xf>
    <xf numFmtId="165" fontId="5" fillId="0" borderId="94" xfId="21" applyNumberFormat="1" applyFont="1" applyBorder="1" applyAlignment="1">
      <alignment horizontal="right" vertical="center"/>
    </xf>
    <xf numFmtId="10" fontId="5" fillId="0" borderId="90" xfId="3" applyNumberFormat="1" applyFont="1" applyFill="1" applyBorder="1" applyAlignment="1">
      <alignment horizontal="right" vertical="center"/>
    </xf>
    <xf numFmtId="17" fontId="5" fillId="0" borderId="91" xfId="4" applyNumberFormat="1" applyFont="1" applyFill="1" applyBorder="1" applyAlignment="1">
      <alignment horizontal="left" vertical="center"/>
    </xf>
    <xf numFmtId="166" fontId="5" fillId="0" borderId="90" xfId="2408" applyNumberFormat="1" applyFont="1" applyFill="1" applyBorder="1" applyAlignment="1">
      <alignment horizontal="center" vertical="center"/>
    </xf>
    <xf numFmtId="3" fontId="5" fillId="0" borderId="90" xfId="4" applyNumberFormat="1" applyFont="1" applyFill="1" applyBorder="1" applyAlignment="1">
      <alignment horizontal="centerContinuous" vertical="center"/>
    </xf>
    <xf numFmtId="0" fontId="6" fillId="0" borderId="145" xfId="4" applyFont="1" applyFill="1" applyBorder="1" applyAlignment="1">
      <alignment vertical="center"/>
    </xf>
    <xf numFmtId="0" fontId="6" fillId="0" borderId="0" xfId="4" applyFont="1" applyFill="1" applyBorder="1" applyAlignment="1">
      <alignment vertical="center"/>
    </xf>
    <xf numFmtId="166" fontId="6" fillId="0" borderId="94" xfId="4" applyNumberFormat="1" applyFont="1" applyBorder="1" applyAlignment="1">
      <alignment vertical="center"/>
    </xf>
    <xf numFmtId="0" fontId="6" fillId="0" borderId="94" xfId="4" applyFont="1" applyFill="1" applyBorder="1" applyAlignment="1">
      <alignment vertical="center"/>
    </xf>
    <xf numFmtId="0" fontId="6" fillId="0" borderId="93" xfId="4" applyFont="1" applyFill="1" applyBorder="1" applyAlignment="1">
      <alignment vertical="center"/>
    </xf>
    <xf numFmtId="0" fontId="5" fillId="0" borderId="94" xfId="4" applyFont="1" applyFill="1" applyBorder="1" applyAlignment="1">
      <alignment horizontal="center" vertical="center"/>
    </xf>
    <xf numFmtId="0" fontId="6" fillId="0" borderId="91" xfId="4" applyFont="1" applyFill="1" applyBorder="1" applyAlignment="1">
      <alignment vertical="center"/>
    </xf>
    <xf numFmtId="0" fontId="6" fillId="0" borderId="126" xfId="4" applyFont="1" applyFill="1" applyBorder="1" applyAlignment="1">
      <alignment vertical="center"/>
    </xf>
    <xf numFmtId="165" fontId="6" fillId="0" borderId="90" xfId="21" applyNumberFormat="1" applyFont="1" applyBorder="1" applyAlignment="1">
      <alignment vertical="center"/>
    </xf>
    <xf numFmtId="3" fontId="6" fillId="0" borderId="90" xfId="4" applyNumberFormat="1" applyFont="1" applyFill="1" applyBorder="1" applyAlignment="1">
      <alignment vertical="center"/>
    </xf>
    <xf numFmtId="10" fontId="5" fillId="0" borderId="90" xfId="3" quotePrefix="1" applyNumberFormat="1" applyFont="1" applyBorder="1" applyAlignment="1">
      <alignment horizontal="right" vertical="center"/>
    </xf>
    <xf numFmtId="165" fontId="5" fillId="0" borderId="93" xfId="2" applyNumberFormat="1" applyFont="1" applyFill="1" applyBorder="1" applyAlignment="1">
      <alignment horizontal="left" vertical="center"/>
    </xf>
    <xf numFmtId="165" fontId="5" fillId="0" borderId="94" xfId="21" applyNumberFormat="1" applyFont="1" applyFill="1" applyBorder="1" applyAlignment="1">
      <alignment horizontal="center" vertical="center"/>
    </xf>
    <xf numFmtId="165" fontId="5" fillId="0" borderId="90" xfId="21" applyNumberFormat="1" applyFont="1" applyFill="1" applyBorder="1" applyAlignment="1">
      <alignment horizontal="center" vertical="center"/>
    </xf>
    <xf numFmtId="0" fontId="29" fillId="0" borderId="0" xfId="4" applyFont="1" applyAlignment="1">
      <alignment vertical="center"/>
    </xf>
    <xf numFmtId="0" fontId="29" fillId="0" borderId="0" xfId="4" applyFont="1" applyAlignment="1">
      <alignment horizontal="centerContinuous" vertical="center"/>
    </xf>
    <xf numFmtId="165" fontId="27" fillId="0" borderId="94" xfId="2" quotePrefix="1" applyNumberFormat="1" applyFont="1" applyFill="1" applyBorder="1" applyAlignment="1">
      <alignment horizontal="left" vertical="center"/>
    </xf>
    <xf numFmtId="165" fontId="6" fillId="0" borderId="94" xfId="21" applyNumberFormat="1" applyFont="1" applyFill="1" applyBorder="1" applyAlignment="1">
      <alignment horizontal="center" vertical="center"/>
    </xf>
    <xf numFmtId="2" fontId="27" fillId="0" borderId="0" xfId="0" applyNumberFormat="1" applyFont="1" applyFill="1" applyAlignment="1">
      <alignment vertical="center"/>
    </xf>
    <xf numFmtId="165" fontId="5" fillId="3" borderId="1" xfId="2" applyNumberFormat="1" applyFont="1" applyFill="1" applyBorder="1" applyAlignment="1">
      <alignment vertical="center"/>
    </xf>
    <xf numFmtId="0" fontId="5" fillId="0" borderId="0" xfId="4" applyFont="1" applyAlignment="1">
      <alignment horizontal="center" vertical="center"/>
    </xf>
    <xf numFmtId="37" fontId="6" fillId="0" borderId="0" xfId="1604" applyNumberFormat="1" applyFont="1" applyAlignment="1"/>
    <xf numFmtId="0" fontId="6" fillId="0" borderId="90" xfId="4" applyFont="1" applyFill="1" applyBorder="1" applyAlignment="1">
      <alignment horizontal="center" vertical="center"/>
    </xf>
    <xf numFmtId="166" fontId="5" fillId="0" borderId="137" xfId="1" applyNumberFormat="1" applyFont="1" applyFill="1" applyBorder="1" applyAlignment="1">
      <alignment vertical="center"/>
    </xf>
    <xf numFmtId="166" fontId="5" fillId="0" borderId="135" xfId="1" applyNumberFormat="1" applyFont="1" applyFill="1" applyBorder="1" applyAlignment="1">
      <alignment vertical="center"/>
    </xf>
    <xf numFmtId="0" fontId="6" fillId="0" borderId="129" xfId="4" applyFont="1" applyBorder="1" applyAlignment="1">
      <alignment horizontal="center"/>
    </xf>
    <xf numFmtId="0" fontId="6" fillId="0" borderId="144" xfId="4" applyFont="1" applyBorder="1" applyAlignment="1">
      <alignment horizontal="center"/>
    </xf>
    <xf numFmtId="0" fontId="6" fillId="0" borderId="137" xfId="4" applyFont="1" applyBorder="1" applyAlignment="1">
      <alignment horizontal="center"/>
    </xf>
    <xf numFmtId="0" fontId="6" fillId="0" borderId="105" xfId="4" applyNumberFormat="1" applyFont="1" applyFill="1" applyBorder="1" applyAlignment="1">
      <alignment horizontal="center" vertical="center"/>
    </xf>
    <xf numFmtId="3" fontId="5" fillId="0" borderId="4" xfId="4" applyNumberFormat="1" applyFont="1" applyFill="1" applyBorder="1" applyAlignment="1">
      <alignment horizontal="centerContinuous" vertical="center"/>
    </xf>
    <xf numFmtId="10" fontId="5" fillId="0" borderId="94" xfId="3" applyNumberFormat="1" applyFont="1" applyFill="1" applyBorder="1" applyAlignment="1">
      <alignment horizontal="center" vertical="center"/>
    </xf>
    <xf numFmtId="5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 applyProtection="1">
      <alignment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1965" applyFont="1" applyFill="1"/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166" fontId="6" fillId="0" borderId="0" xfId="2408" applyNumberFormat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6" fillId="0" borderId="0" xfId="0" applyFont="1" applyAlignment="1">
      <alignment vertical="center"/>
    </xf>
    <xf numFmtId="0" fontId="29" fillId="0" borderId="0" xfId="4" applyFont="1" applyAlignment="1">
      <alignment horizontal="center" vertical="center"/>
    </xf>
    <xf numFmtId="0" fontId="6" fillId="0" borderId="0" xfId="4" applyFont="1" applyAlignment="1"/>
    <xf numFmtId="166" fontId="5" fillId="0" borderId="0" xfId="1" applyNumberFormat="1" applyFont="1" applyBorder="1" applyAlignment="1">
      <alignment horizontal="right"/>
    </xf>
    <xf numFmtId="165" fontId="6" fillId="0" borderId="0" xfId="2" applyNumberFormat="1" applyFont="1" applyBorder="1"/>
    <xf numFmtId="166" fontId="5" fillId="0" borderId="109" xfId="1" applyNumberFormat="1" applyFont="1" applyFill="1" applyBorder="1" applyAlignment="1">
      <alignment vertical="center"/>
    </xf>
    <xf numFmtId="166" fontId="5" fillId="3" borderId="7" xfId="2030" applyNumberFormat="1" applyFont="1" applyFill="1" applyBorder="1"/>
    <xf numFmtId="10" fontId="5" fillId="0" borderId="0" xfId="2012" applyNumberFormat="1" applyFont="1" applyFill="1" applyAlignment="1">
      <alignment horizontal="right"/>
    </xf>
    <xf numFmtId="183" fontId="5" fillId="0" borderId="0" xfId="2012" applyNumberFormat="1" applyFont="1" applyFill="1"/>
    <xf numFmtId="10" fontId="5" fillId="0" borderId="0" xfId="2012" applyNumberFormat="1" applyFont="1" applyFill="1" applyBorder="1" applyAlignment="1">
      <alignment horizontal="right"/>
    </xf>
    <xf numFmtId="166" fontId="5" fillId="0" borderId="0" xfId="2408" applyNumberFormat="1" applyFont="1" applyFill="1" applyBorder="1" applyAlignment="1" applyProtection="1">
      <alignment horizontal="right"/>
      <protection locked="0"/>
    </xf>
    <xf numFmtId="10" fontId="5" fillId="0" borderId="0" xfId="2012" applyNumberFormat="1" applyFont="1" applyBorder="1" applyAlignment="1">
      <alignment horizontal="right"/>
    </xf>
    <xf numFmtId="165" fontId="5" fillId="0" borderId="0" xfId="2039" applyNumberFormat="1" applyFont="1"/>
    <xf numFmtId="165" fontId="6" fillId="0" borderId="0" xfId="1963" applyNumberFormat="1" applyFont="1" applyBorder="1" applyAlignment="1">
      <alignment horizontal="right"/>
    </xf>
    <xf numFmtId="10" fontId="6" fillId="0" borderId="0" xfId="2012" quotePrefix="1" applyNumberFormat="1" applyFont="1" applyBorder="1" applyAlignment="1">
      <alignment horizontal="right"/>
    </xf>
    <xf numFmtId="10" fontId="13" fillId="0" borderId="0" xfId="2012" applyNumberFormat="1" applyFont="1" applyBorder="1" applyAlignment="1">
      <alignment horizontal="right"/>
    </xf>
    <xf numFmtId="165" fontId="6" fillId="0" borderId="0" xfId="2" applyNumberFormat="1" applyFont="1" applyBorder="1" applyAlignment="1">
      <alignment horizontal="right"/>
    </xf>
    <xf numFmtId="165" fontId="6" fillId="0" borderId="0" xfId="1965" applyNumberFormat="1" applyFont="1" applyBorder="1" applyAlignment="1">
      <alignment horizontal="right"/>
    </xf>
    <xf numFmtId="0" fontId="5" fillId="0" borderId="44" xfId="1965" applyFont="1" applyBorder="1" applyAlignment="1">
      <alignment horizontal="center"/>
    </xf>
    <xf numFmtId="0" fontId="5" fillId="0" borderId="47" xfId="2012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5" fillId="0" borderId="113" xfId="37887" quotePrefix="1" applyNumberFormat="1" applyFont="1" applyFill="1" applyBorder="1" applyAlignment="1">
      <alignment vertical="center"/>
    </xf>
    <xf numFmtId="0" fontId="5" fillId="0" borderId="90" xfId="37887" quotePrefix="1" applyNumberFormat="1" applyFont="1" applyFill="1" applyBorder="1" applyAlignment="1">
      <alignment vertical="center"/>
    </xf>
    <xf numFmtId="0" fontId="6" fillId="0" borderId="113" xfId="37811" quotePrefix="1" applyNumberFormat="1" applyFont="1" applyFill="1" applyBorder="1" applyAlignment="1">
      <alignment horizontal="center" vertical="center"/>
    </xf>
    <xf numFmtId="0" fontId="6" fillId="0" borderId="90" xfId="37811" quotePrefix="1" applyNumberFormat="1" applyFont="1" applyFill="1" applyBorder="1" applyAlignment="1">
      <alignment horizontal="center" vertical="center"/>
    </xf>
    <xf numFmtId="0" fontId="6" fillId="0" borderId="129" xfId="0" applyFont="1" applyBorder="1" applyAlignment="1">
      <alignment horizontal="center" wrapText="1"/>
    </xf>
    <xf numFmtId="0" fontId="6" fillId="0" borderId="72" xfId="0" applyFont="1" applyBorder="1" applyAlignment="1">
      <alignment horizontal="center" wrapText="1"/>
    </xf>
    <xf numFmtId="0" fontId="6" fillId="0" borderId="138" xfId="0" applyFont="1" applyBorder="1" applyAlignment="1">
      <alignment horizontal="center" wrapText="1"/>
    </xf>
    <xf numFmtId="5" fontId="6" fillId="0" borderId="142" xfId="0" applyNumberFormat="1" applyFont="1" applyBorder="1" applyAlignment="1">
      <alignment horizontal="center" vertical="justify"/>
    </xf>
    <xf numFmtId="5" fontId="5" fillId="0" borderId="9" xfId="0" applyNumberFormat="1" applyFont="1" applyBorder="1" applyAlignment="1"/>
    <xf numFmtId="5" fontId="6" fillId="0" borderId="137" xfId="0" applyNumberFormat="1" applyFont="1" applyBorder="1" applyAlignment="1">
      <alignment horizontal="center" vertical="justify"/>
    </xf>
    <xf numFmtId="5" fontId="6" fillId="0" borderId="135" xfId="0" applyNumberFormat="1" applyFont="1" applyBorder="1" applyAlignment="1">
      <alignment horizontal="center"/>
    </xf>
    <xf numFmtId="165" fontId="6" fillId="0" borderId="0" xfId="21" applyNumberFormat="1" applyFont="1" applyFill="1" applyBorder="1" applyAlignment="1" applyProtection="1">
      <alignment horizontal="center"/>
    </xf>
    <xf numFmtId="166" fontId="5" fillId="0" borderId="0" xfId="2408" applyNumberFormat="1" applyFont="1" applyFill="1" applyBorder="1" applyAlignment="1" applyProtection="1">
      <alignment horizontal="right"/>
    </xf>
    <xf numFmtId="0" fontId="10" fillId="0" borderId="0" xfId="4" applyFont="1" applyFill="1" applyAlignment="1" applyProtection="1">
      <alignment horizontal="left"/>
    </xf>
    <xf numFmtId="0" fontId="10" fillId="0" borderId="0" xfId="4" applyFont="1" applyFill="1"/>
    <xf numFmtId="6" fontId="5" fillId="0" borderId="0" xfId="4" applyNumberFormat="1" applyFont="1" applyFill="1" applyProtection="1"/>
    <xf numFmtId="41" fontId="5" fillId="3" borderId="0" xfId="0" applyNumberFormat="1" applyFont="1" applyFill="1" applyAlignment="1">
      <alignment vertical="center"/>
    </xf>
    <xf numFmtId="41" fontId="5" fillId="0" borderId="0" xfId="0" applyNumberFormat="1" applyFont="1" applyAlignment="1">
      <alignment vertical="center"/>
    </xf>
    <xf numFmtId="0" fontId="5" fillId="0" borderId="0" xfId="1965" applyFont="1" applyAlignment="1">
      <alignment horizontal="center" vertical="center"/>
    </xf>
    <xf numFmtId="0" fontId="5" fillId="0" borderId="10" xfId="4" applyFont="1" applyBorder="1" applyAlignment="1">
      <alignment horizontal="center" vertical="center"/>
    </xf>
    <xf numFmtId="0" fontId="5" fillId="0" borderId="9" xfId="4" applyFont="1" applyBorder="1" applyAlignment="1">
      <alignment horizontal="center" vertical="center"/>
    </xf>
    <xf numFmtId="0" fontId="5" fillId="0" borderId="0" xfId="1965" applyFont="1" applyBorder="1" applyAlignment="1">
      <alignment horizontal="center" vertical="center"/>
    </xf>
    <xf numFmtId="0" fontId="6" fillId="0" borderId="0" xfId="1965" applyFont="1" applyAlignment="1">
      <alignment horizontal="center" vertical="center"/>
    </xf>
    <xf numFmtId="0" fontId="6" fillId="0" borderId="0" xfId="1965" applyFont="1" applyAlignment="1">
      <alignment horizontal="center" vertical="center" wrapText="1"/>
    </xf>
    <xf numFmtId="0" fontId="6" fillId="0" borderId="0" xfId="1965" quotePrefix="1" applyFont="1" applyAlignment="1">
      <alignment horizontal="center" vertical="center"/>
    </xf>
    <xf numFmtId="0" fontId="6" fillId="0" borderId="0" xfId="2012" applyFont="1" applyBorder="1" applyAlignment="1">
      <alignment horizontal="center" vertical="center"/>
    </xf>
    <xf numFmtId="0" fontId="5" fillId="0" borderId="0" xfId="1965" applyFont="1" applyAlignment="1">
      <alignment vertical="center"/>
    </xf>
    <xf numFmtId="0" fontId="5" fillId="0" borderId="0" xfId="2012" applyFont="1" applyBorder="1" applyAlignment="1">
      <alignment horizontal="center" vertical="center"/>
    </xf>
    <xf numFmtId="0" fontId="6" fillId="0" borderId="0" xfId="2012" applyFont="1" applyBorder="1" applyAlignment="1">
      <alignment horizontal="left" vertical="center"/>
    </xf>
    <xf numFmtId="0" fontId="6" fillId="0" borderId="0" xfId="2012" applyFont="1" applyAlignment="1">
      <alignment vertical="center"/>
    </xf>
    <xf numFmtId="0" fontId="6" fillId="0" borderId="0" xfId="2012" applyFont="1" applyAlignment="1" applyProtection="1">
      <alignment horizontal="center" vertical="center"/>
    </xf>
    <xf numFmtId="49" fontId="6" fillId="0" borderId="0" xfId="4" applyNumberFormat="1" applyFont="1" applyAlignment="1">
      <alignment horizontal="center" vertical="center"/>
    </xf>
    <xf numFmtId="0" fontId="6" fillId="0" borderId="0" xfId="2012" applyFont="1" applyAlignment="1" applyProtection="1">
      <alignment vertical="center"/>
      <protection locked="0"/>
    </xf>
    <xf numFmtId="0" fontId="6" fillId="0" borderId="0" xfId="2012" applyFont="1" applyAlignment="1" applyProtection="1">
      <alignment vertical="center"/>
    </xf>
    <xf numFmtId="168" fontId="6" fillId="0" borderId="0" xfId="4" applyNumberFormat="1" applyFont="1" applyAlignment="1">
      <alignment horizontal="center" vertical="center"/>
    </xf>
    <xf numFmtId="44" fontId="3" fillId="0" borderId="0" xfId="2" applyFont="1" applyAlignment="1">
      <alignment horizontal="center" vertical="center"/>
    </xf>
    <xf numFmtId="0" fontId="11" fillId="0" borderId="0" xfId="2001" applyFont="1" applyAlignment="1">
      <alignment horizontal="center" vertical="center"/>
    </xf>
    <xf numFmtId="0" fontId="5" fillId="0" borderId="0" xfId="37037" applyFont="1" applyAlignment="1">
      <alignment horizontal="center" vertical="center"/>
    </xf>
    <xf numFmtId="0" fontId="11" fillId="0" borderId="0" xfId="37037" applyFont="1" applyAlignment="1">
      <alignment horizontal="center" vertical="center"/>
    </xf>
    <xf numFmtId="37" fontId="6" fillId="0" borderId="0" xfId="1604" applyNumberFormat="1" applyFont="1" applyBorder="1" applyAlignment="1">
      <alignment vertical="center"/>
    </xf>
    <xf numFmtId="0" fontId="6" fillId="0" borderId="0" xfId="4" applyFont="1" applyFill="1" applyBorder="1" applyAlignment="1">
      <alignment horizontal="center" vertical="center"/>
    </xf>
    <xf numFmtId="37" fontId="6" fillId="0" borderId="0" xfId="1604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0" fontId="27" fillId="0" borderId="0" xfId="1962" applyFont="1" applyBorder="1" applyAlignment="1">
      <alignment horizontal="center" vertical="center"/>
    </xf>
    <xf numFmtId="0" fontId="27" fillId="0" borderId="9" xfId="1962" applyFont="1" applyBorder="1" applyAlignment="1">
      <alignment horizontal="center" vertical="center"/>
    </xf>
    <xf numFmtId="0" fontId="27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165" fontId="5" fillId="0" borderId="1" xfId="2" applyNumberFormat="1" applyFont="1" applyBorder="1" applyAlignment="1" applyProtection="1">
      <alignment vertical="center"/>
      <protection locked="0"/>
    </xf>
    <xf numFmtId="0" fontId="29" fillId="0" borderId="142" xfId="1962" applyFont="1" applyFill="1" applyBorder="1" applyAlignment="1">
      <alignment horizontal="center"/>
    </xf>
    <xf numFmtId="0" fontId="117" fillId="0" borderId="8" xfId="1962" applyFont="1" applyFill="1" applyBorder="1" applyAlignment="1">
      <alignment horizontal="center"/>
    </xf>
    <xf numFmtId="0" fontId="117" fillId="0" borderId="130" xfId="1962" applyFont="1" applyFill="1" applyBorder="1" applyAlignment="1">
      <alignment horizontal="center"/>
    </xf>
    <xf numFmtId="0" fontId="29" fillId="0" borderId="134" xfId="1962" applyFont="1" applyBorder="1" applyAlignment="1">
      <alignment horizontal="center"/>
    </xf>
    <xf numFmtId="0" fontId="29" fillId="0" borderId="105" xfId="1962" applyFont="1" applyBorder="1" applyAlignment="1">
      <alignment horizontal="center"/>
    </xf>
    <xf numFmtId="166" fontId="5" fillId="3" borderId="147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Fill="1" applyBorder="1" applyAlignment="1">
      <alignment vertical="center"/>
    </xf>
    <xf numFmtId="0" fontId="6" fillId="0" borderId="0" xfId="1604" applyFont="1" applyFill="1" applyBorder="1"/>
    <xf numFmtId="166" fontId="5" fillId="0" borderId="147" xfId="1" applyNumberFormat="1" applyFont="1" applyFill="1" applyBorder="1" applyAlignment="1">
      <alignment vertical="center"/>
    </xf>
    <xf numFmtId="10" fontId="5" fillId="0" borderId="0" xfId="1043" applyNumberFormat="1" applyFont="1" applyBorder="1" applyAlignment="1">
      <alignment horizontal="right"/>
    </xf>
    <xf numFmtId="0" fontId="5" fillId="0" borderId="0" xfId="2012" applyFont="1" applyAlignment="1">
      <alignment horizontal="left"/>
    </xf>
    <xf numFmtId="0" fontId="5" fillId="0" borderId="0" xfId="2012" applyFont="1" applyBorder="1" applyAlignment="1">
      <alignment horizontal="left"/>
    </xf>
    <xf numFmtId="0" fontId="10" fillId="0" borderId="0" xfId="2012" applyFont="1" applyProtection="1"/>
    <xf numFmtId="165" fontId="5" fillId="0" borderId="52" xfId="48" applyNumberFormat="1" applyFont="1" applyBorder="1" applyAlignment="1">
      <alignment horizontal="right"/>
    </xf>
    <xf numFmtId="165" fontId="5" fillId="0" borderId="0" xfId="2" applyNumberFormat="1" applyFont="1" applyBorder="1" applyAlignment="1">
      <alignment horizontal="right"/>
    </xf>
    <xf numFmtId="165" fontId="5" fillId="0" borderId="49" xfId="4" applyNumberFormat="1" applyFont="1" applyBorder="1" applyAlignment="1">
      <alignment vertical="center"/>
    </xf>
    <xf numFmtId="165" fontId="5" fillId="2" borderId="4" xfId="48" applyNumberFormat="1" applyFont="1" applyFill="1" applyBorder="1" applyAlignment="1">
      <alignment horizontal="right" vertical="center"/>
    </xf>
    <xf numFmtId="165" fontId="5" fillId="0" borderId="4" xfId="4" applyNumberFormat="1" applyFont="1" applyBorder="1" applyAlignment="1">
      <alignment horizontal="right" vertical="center"/>
    </xf>
    <xf numFmtId="166" fontId="5" fillId="2" borderId="4" xfId="1" applyNumberFormat="1" applyFont="1" applyFill="1" applyBorder="1" applyAlignment="1">
      <alignment horizontal="right" vertical="center"/>
    </xf>
    <xf numFmtId="181" fontId="6" fillId="0" borderId="49" xfId="4" applyNumberFormat="1" applyFont="1" applyBorder="1" applyAlignment="1">
      <alignment vertical="center"/>
    </xf>
    <xf numFmtId="165" fontId="6" fillId="0" borderId="52" xfId="48" applyNumberFormat="1" applyFont="1" applyBorder="1" applyAlignment="1">
      <alignment horizontal="right" vertical="center"/>
    </xf>
    <xf numFmtId="165" fontId="5" fillId="2" borderId="0" xfId="2011" applyNumberFormat="1" applyFont="1" applyFill="1" applyAlignment="1">
      <alignment vertical="center"/>
    </xf>
    <xf numFmtId="165" fontId="5" fillId="0" borderId="0" xfId="2011" applyNumberFormat="1" applyFont="1" applyAlignment="1">
      <alignment vertical="center"/>
    </xf>
    <xf numFmtId="10" fontId="5" fillId="3" borderId="44" xfId="1043" applyNumberFormat="1" applyFont="1" applyFill="1" applyBorder="1" applyAlignment="1">
      <alignment vertical="center"/>
    </xf>
    <xf numFmtId="167" fontId="5" fillId="2" borderId="126" xfId="1043" applyNumberFormat="1" applyFont="1" applyFill="1" applyBorder="1" applyAlignment="1">
      <alignment horizontal="right" vertical="center"/>
    </xf>
    <xf numFmtId="165" fontId="5" fillId="0" borderId="44" xfId="1963" applyNumberFormat="1" applyFont="1" applyBorder="1" applyAlignment="1">
      <alignment horizontal="right" vertical="center"/>
    </xf>
    <xf numFmtId="165" fontId="5" fillId="0" borderId="0" xfId="1963" applyNumberFormat="1" applyFont="1" applyBorder="1" applyAlignment="1">
      <alignment horizontal="right" vertical="center"/>
    </xf>
    <xf numFmtId="172" fontId="5" fillId="0" borderId="0" xfId="1963" applyNumberFormat="1" applyFont="1" applyAlignment="1">
      <alignment vertical="center"/>
    </xf>
    <xf numFmtId="165" fontId="6" fillId="0" borderId="0" xfId="1963" applyNumberFormat="1" applyFont="1" applyAlignment="1">
      <alignment vertical="center"/>
    </xf>
    <xf numFmtId="165" fontId="5" fillId="0" borderId="41" xfId="1963" applyNumberFormat="1" applyFont="1" applyBorder="1" applyAlignment="1">
      <alignment horizontal="right" vertical="center"/>
    </xf>
    <xf numFmtId="167" fontId="5" fillId="3" borderId="0" xfId="3" applyNumberFormat="1" applyFont="1" applyFill="1" applyBorder="1" applyAlignment="1">
      <alignment horizontal="right" vertical="center"/>
    </xf>
    <xf numFmtId="0" fontId="5" fillId="0" borderId="0" xfId="2012" applyFont="1" applyAlignment="1" applyProtection="1">
      <alignment vertical="center"/>
    </xf>
    <xf numFmtId="10" fontId="5" fillId="2" borderId="0" xfId="2012" applyNumberFormat="1" applyFont="1" applyFill="1" applyAlignment="1">
      <alignment horizontal="right" vertical="center"/>
    </xf>
    <xf numFmtId="183" fontId="5" fillId="0" borderId="0" xfId="2012" applyNumberFormat="1" applyFont="1" applyFill="1" applyAlignment="1">
      <alignment horizontal="right" vertical="center"/>
    </xf>
    <xf numFmtId="183" fontId="5" fillId="0" borderId="0" xfId="2012" applyNumberFormat="1" applyFont="1" applyFill="1" applyAlignment="1">
      <alignment vertical="center"/>
    </xf>
    <xf numFmtId="183" fontId="5" fillId="0" borderId="45" xfId="2012" applyNumberFormat="1" applyFont="1" applyFill="1" applyBorder="1" applyAlignment="1" applyProtection="1">
      <alignment horizontal="right" vertical="center"/>
      <protection locked="0"/>
    </xf>
    <xf numFmtId="10" fontId="5" fillId="0" borderId="0" xfId="2012" applyNumberFormat="1" applyFont="1" applyBorder="1" applyAlignment="1">
      <alignment horizontal="right" vertical="center"/>
    </xf>
    <xf numFmtId="183" fontId="5" fillId="0" borderId="0" xfId="2012" quotePrefix="1" applyNumberFormat="1" applyFont="1" applyAlignment="1">
      <alignment horizontal="right" vertical="center"/>
    </xf>
    <xf numFmtId="167" fontId="5" fillId="3" borderId="0" xfId="2012" applyNumberFormat="1" applyFont="1" applyFill="1" applyBorder="1" applyAlignment="1">
      <alignment horizontal="right" vertical="center"/>
    </xf>
    <xf numFmtId="10" fontId="5" fillId="0" borderId="126" xfId="3" quotePrefix="1" applyNumberFormat="1" applyFont="1" applyBorder="1" applyAlignment="1">
      <alignment horizontal="right" vertical="center"/>
    </xf>
    <xf numFmtId="183" fontId="6" fillId="0" borderId="45" xfId="2012" quotePrefix="1" applyNumberFormat="1" applyFont="1" applyBorder="1" applyAlignment="1">
      <alignment horizontal="right" vertical="center"/>
    </xf>
    <xf numFmtId="10" fontId="5" fillId="0" borderId="1" xfId="2012" quotePrefix="1" applyNumberFormat="1" applyFont="1" applyBorder="1" applyAlignment="1">
      <alignment horizontal="right" vertical="center"/>
    </xf>
    <xf numFmtId="0" fontId="13" fillId="0" borderId="0" xfId="2012" applyFont="1" applyAlignment="1" applyProtection="1">
      <alignment vertical="center"/>
    </xf>
    <xf numFmtId="0" fontId="5" fillId="0" borderId="0" xfId="2012" applyFont="1" applyAlignment="1">
      <alignment vertical="center"/>
    </xf>
    <xf numFmtId="10" fontId="5" fillId="0" borderId="0" xfId="2012" applyNumberFormat="1" applyFont="1" applyFill="1" applyBorder="1" applyAlignment="1">
      <alignment horizontal="right" vertical="center"/>
    </xf>
    <xf numFmtId="10" fontId="13" fillId="0" borderId="45" xfId="2012" applyNumberFormat="1" applyFont="1" applyBorder="1" applyAlignment="1">
      <alignment horizontal="right" vertical="center"/>
    </xf>
    <xf numFmtId="165" fontId="5" fillId="0" borderId="1" xfId="2" applyNumberFormat="1" applyFont="1" applyBorder="1" applyAlignment="1">
      <alignment horizontal="right" vertical="center"/>
    </xf>
    <xf numFmtId="0" fontId="6" fillId="0" borderId="0" xfId="2012" applyFont="1" applyFill="1" applyBorder="1" applyAlignment="1">
      <alignment horizontal="center" vertical="center"/>
    </xf>
    <xf numFmtId="0" fontId="13" fillId="0" borderId="0" xfId="2012" applyFont="1" applyFill="1" applyBorder="1" applyAlignment="1">
      <alignment horizontal="center" vertical="center"/>
    </xf>
    <xf numFmtId="10" fontId="5" fillId="0" borderId="0" xfId="1043" applyNumberFormat="1" applyFont="1" applyBorder="1" applyAlignment="1">
      <alignment horizontal="right" vertical="center"/>
    </xf>
    <xf numFmtId="165" fontId="5" fillId="2" borderId="126" xfId="2012" applyNumberFormat="1" applyFont="1" applyFill="1" applyBorder="1" applyAlignment="1" applyProtection="1">
      <alignment horizontal="right" vertical="center"/>
      <protection locked="0"/>
    </xf>
    <xf numFmtId="10" fontId="6" fillId="0" borderId="0" xfId="61" applyNumberFormat="1" applyFont="1" applyBorder="1" applyAlignment="1">
      <alignment vertical="center"/>
    </xf>
    <xf numFmtId="10" fontId="6" fillId="0" borderId="0" xfId="1043" applyNumberFormat="1" applyFont="1" applyAlignment="1" applyProtection="1">
      <alignment horizontal="right" vertical="center"/>
    </xf>
    <xf numFmtId="165" fontId="5" fillId="2" borderId="0" xfId="2012" applyNumberFormat="1" applyFont="1" applyFill="1" applyBorder="1" applyAlignment="1" applyProtection="1">
      <alignment horizontal="right" vertical="center"/>
      <protection locked="0"/>
    </xf>
    <xf numFmtId="166" fontId="5" fillId="2" borderId="0" xfId="1" applyNumberFormat="1" applyFont="1" applyFill="1" applyBorder="1" applyAlignment="1" applyProtection="1">
      <alignment horizontal="right" vertical="center"/>
      <protection locked="0"/>
    </xf>
    <xf numFmtId="165" fontId="5" fillId="0" borderId="58" xfId="2012" applyNumberFormat="1" applyFont="1" applyBorder="1" applyAlignment="1" applyProtection="1">
      <alignment horizontal="right" vertical="center"/>
      <protection locked="0"/>
    </xf>
    <xf numFmtId="165" fontId="6" fillId="0" borderId="0" xfId="2012" applyNumberFormat="1" applyFont="1" applyBorder="1" applyAlignment="1" applyProtection="1">
      <alignment horizontal="right" vertical="center"/>
      <protection locked="0"/>
    </xf>
    <xf numFmtId="167" fontId="5" fillId="2" borderId="0" xfId="61" applyNumberFormat="1" applyFont="1" applyFill="1" applyBorder="1" applyAlignment="1">
      <alignment horizontal="right" vertical="center"/>
    </xf>
    <xf numFmtId="165" fontId="5" fillId="0" borderId="57" xfId="2012" applyNumberFormat="1" applyFont="1" applyBorder="1" applyAlignment="1" applyProtection="1">
      <alignment horizontal="right" vertical="center"/>
      <protection locked="0"/>
    </xf>
    <xf numFmtId="165" fontId="5" fillId="0" borderId="0" xfId="2039" applyNumberFormat="1" applyFont="1" applyAlignment="1">
      <alignment horizontal="right" vertical="center"/>
    </xf>
    <xf numFmtId="165" fontId="5" fillId="0" borderId="0" xfId="2039" applyNumberFormat="1" applyFont="1" applyFill="1" applyAlignment="1">
      <alignment vertical="center"/>
    </xf>
    <xf numFmtId="166" fontId="5" fillId="0" borderId="0" xfId="2038" applyNumberFormat="1" applyFont="1" applyAlignment="1">
      <alignment vertical="center"/>
    </xf>
    <xf numFmtId="166" fontId="5" fillId="0" borderId="0" xfId="2038" applyNumberFormat="1" applyFont="1" applyFill="1" applyAlignment="1">
      <alignment vertical="center"/>
    </xf>
    <xf numFmtId="166" fontId="6" fillId="0" borderId="0" xfId="1" applyNumberFormat="1" applyFont="1" applyFill="1" applyAlignment="1">
      <alignment vertical="center"/>
    </xf>
    <xf numFmtId="165" fontId="5" fillId="0" borderId="0" xfId="1965" applyNumberFormat="1" applyFont="1" applyFill="1" applyAlignment="1">
      <alignment vertical="center"/>
    </xf>
    <xf numFmtId="165" fontId="5" fillId="0" borderId="0" xfId="1965" applyNumberFormat="1" applyFont="1" applyAlignment="1">
      <alignment vertical="center"/>
    </xf>
    <xf numFmtId="167" fontId="5" fillId="3" borderId="0" xfId="3" applyNumberFormat="1" applyFont="1" applyFill="1" applyAlignment="1">
      <alignment horizontal="right" vertical="center"/>
    </xf>
    <xf numFmtId="166" fontId="5" fillId="0" borderId="44" xfId="1" applyNumberFormat="1" applyFont="1" applyFill="1" applyBorder="1" applyAlignment="1">
      <alignment vertical="center"/>
    </xf>
    <xf numFmtId="165" fontId="6" fillId="0" borderId="0" xfId="1965" applyNumberFormat="1" applyFont="1" applyFill="1" applyAlignment="1">
      <alignment vertical="center"/>
    </xf>
    <xf numFmtId="165" fontId="6" fillId="0" borderId="0" xfId="1965" applyNumberFormat="1" applyFont="1" applyAlignment="1">
      <alignment vertical="center"/>
    </xf>
    <xf numFmtId="166" fontId="5" fillId="0" borderId="126" xfId="1" applyNumberFormat="1" applyFont="1" applyBorder="1" applyAlignment="1">
      <alignment vertical="center"/>
    </xf>
    <xf numFmtId="165" fontId="5" fillId="2" borderId="0" xfId="21" applyNumberFormat="1" applyFont="1" applyFill="1" applyBorder="1" applyAlignment="1" applyProtection="1">
      <alignment horizontal="right" vertical="center"/>
      <protection locked="0"/>
    </xf>
    <xf numFmtId="41" fontId="5" fillId="0" borderId="94" xfId="3857" applyFont="1" applyBorder="1" applyAlignment="1">
      <alignment vertical="center"/>
    </xf>
    <xf numFmtId="41" fontId="5" fillId="0" borderId="0" xfId="3857" applyFont="1" applyAlignment="1">
      <alignment vertical="center"/>
    </xf>
    <xf numFmtId="165" fontId="5" fillId="0" borderId="52" xfId="37039" applyNumberFormat="1" applyFont="1" applyBorder="1" applyAlignment="1">
      <alignment vertical="center"/>
    </xf>
    <xf numFmtId="166" fontId="5" fillId="0" borderId="94" xfId="1442" applyNumberFormat="1" applyFont="1" applyBorder="1" applyAlignment="1">
      <alignment vertical="center"/>
    </xf>
    <xf numFmtId="165" fontId="5" fillId="0" borderId="0" xfId="37039" applyNumberFormat="1" applyFont="1" applyFill="1" applyAlignment="1">
      <alignment vertical="center"/>
    </xf>
    <xf numFmtId="165" fontId="5" fillId="0" borderId="0" xfId="38092" applyNumberFormat="1" applyFont="1" applyFill="1" applyBorder="1" applyAlignment="1">
      <alignment vertical="center"/>
    </xf>
    <xf numFmtId="0" fontId="5" fillId="0" borderId="135" xfId="1962" applyFont="1" applyFill="1" applyBorder="1" applyAlignment="1">
      <alignment vertical="center"/>
    </xf>
    <xf numFmtId="166" fontId="5" fillId="0" borderId="94" xfId="1962" applyNumberFormat="1" applyFont="1" applyFill="1" applyBorder="1" applyAlignment="1">
      <alignment vertical="center"/>
    </xf>
    <xf numFmtId="43" fontId="5" fillId="0" borderId="135" xfId="1962" applyNumberFormat="1" applyFont="1" applyFill="1" applyBorder="1" applyAlignment="1">
      <alignment vertical="center"/>
    </xf>
    <xf numFmtId="165" fontId="5" fillId="0" borderId="135" xfId="38092" applyNumberFormat="1" applyFont="1" applyFill="1" applyBorder="1" applyAlignment="1">
      <alignment vertical="center"/>
    </xf>
    <xf numFmtId="166" fontId="5" fillId="0" borderId="135" xfId="1962" applyNumberFormat="1" applyFont="1" applyFill="1" applyBorder="1" applyAlignment="1">
      <alignment vertical="center"/>
    </xf>
    <xf numFmtId="166" fontId="5" fillId="0" borderId="90" xfId="1962" applyNumberFormat="1" applyFont="1" applyFill="1" applyBorder="1" applyAlignment="1">
      <alignment vertical="center"/>
    </xf>
    <xf numFmtId="0" fontId="5" fillId="0" borderId="139" xfId="1962" applyFont="1" applyFill="1" applyBorder="1" applyAlignment="1">
      <alignment vertical="center"/>
    </xf>
    <xf numFmtId="0" fontId="29" fillId="0" borderId="0" xfId="1962" applyFont="1" applyFill="1" applyBorder="1" applyAlignment="1">
      <alignment vertical="center"/>
    </xf>
    <xf numFmtId="0" fontId="29" fillId="0" borderId="135" xfId="1962" applyFont="1" applyBorder="1" applyAlignment="1">
      <alignment vertical="center"/>
    </xf>
    <xf numFmtId="165" fontId="29" fillId="0" borderId="1" xfId="1962" applyNumberFormat="1" applyFont="1" applyFill="1" applyBorder="1" applyAlignment="1">
      <alignment vertical="center"/>
    </xf>
    <xf numFmtId="165" fontId="29" fillId="0" borderId="140" xfId="38093" applyNumberFormat="1" applyFont="1" applyBorder="1" applyAlignment="1">
      <alignment vertical="center"/>
    </xf>
    <xf numFmtId="43" fontId="29" fillId="0" borderId="0" xfId="1962" applyNumberFormat="1" applyFont="1" applyFill="1" applyBorder="1" applyAlignment="1">
      <alignment vertical="center"/>
    </xf>
    <xf numFmtId="42" fontId="29" fillId="0" borderId="140" xfId="1045" applyFont="1" applyBorder="1" applyAlignment="1">
      <alignment vertical="center"/>
    </xf>
    <xf numFmtId="0" fontId="29" fillId="0" borderId="72" xfId="1962" applyFont="1" applyFill="1" applyBorder="1" applyAlignment="1">
      <alignment vertical="center"/>
    </xf>
    <xf numFmtId="0" fontId="29" fillId="0" borderId="138" xfId="1962" applyFont="1" applyBorder="1" applyAlignment="1">
      <alignment vertical="center"/>
    </xf>
    <xf numFmtId="166" fontId="5" fillId="2" borderId="81" xfId="2408" applyNumberFormat="1" applyFont="1" applyFill="1" applyBorder="1" applyAlignment="1" applyProtection="1">
      <alignment horizontal="right" vertical="center"/>
      <protection locked="0"/>
    </xf>
    <xf numFmtId="165" fontId="5" fillId="0" borderId="103" xfId="21" applyNumberFormat="1" applyFont="1" applyFill="1" applyBorder="1" applyAlignment="1" applyProtection="1">
      <alignment horizontal="right" vertical="center"/>
    </xf>
    <xf numFmtId="166" fontId="6" fillId="0" borderId="0" xfId="2408" applyNumberFormat="1" applyFont="1" applyFill="1" applyAlignment="1" applyProtection="1">
      <alignment horizontal="center" vertical="center"/>
    </xf>
    <xf numFmtId="165" fontId="5" fillId="2" borderId="0" xfId="21" applyNumberFormat="1" applyFont="1" applyFill="1" applyBorder="1" applyAlignment="1" applyProtection="1">
      <alignment horizontal="center" vertical="center"/>
    </xf>
    <xf numFmtId="165" fontId="5" fillId="0" borderId="103" xfId="21" applyNumberFormat="1" applyFont="1" applyFill="1" applyBorder="1" applyAlignment="1" applyProtection="1">
      <alignment horizontal="center" vertical="center"/>
    </xf>
    <xf numFmtId="165" fontId="6" fillId="0" borderId="0" xfId="21" quotePrefix="1" applyNumberFormat="1" applyFont="1" applyFill="1" applyBorder="1" applyAlignment="1">
      <alignment horizontal="right" vertical="center"/>
    </xf>
    <xf numFmtId="165" fontId="5" fillId="2" borderId="0" xfId="21" applyNumberFormat="1" applyFont="1" applyFill="1" applyBorder="1" applyAlignment="1" applyProtection="1">
      <alignment horizontal="right" vertical="center"/>
    </xf>
    <xf numFmtId="43" fontId="5" fillId="2" borderId="0" xfId="2408" applyFont="1" applyFill="1" applyBorder="1" applyAlignment="1" applyProtection="1">
      <alignment horizontal="right" vertical="center"/>
    </xf>
    <xf numFmtId="166" fontId="6" fillId="0" borderId="0" xfId="2408" applyNumberFormat="1" applyFont="1" applyFill="1" applyAlignment="1" applyProtection="1">
      <alignment horizontal="right" vertical="center"/>
    </xf>
    <xf numFmtId="166" fontId="6" fillId="0" borderId="0" xfId="2408" applyNumberFormat="1" applyFont="1" applyFill="1" applyBorder="1" applyAlignment="1" applyProtection="1">
      <alignment horizontal="center" vertical="center"/>
    </xf>
    <xf numFmtId="165" fontId="5" fillId="0" borderId="41" xfId="21" applyNumberFormat="1" applyFont="1" applyFill="1" applyBorder="1" applyAlignment="1" applyProtection="1">
      <alignment horizontal="right" vertical="center"/>
    </xf>
    <xf numFmtId="165" fontId="6" fillId="0" borderId="0" xfId="21" applyNumberFormat="1" applyFont="1" applyFill="1" applyBorder="1" applyAlignment="1" applyProtection="1">
      <alignment horizontal="right" vertical="center"/>
    </xf>
    <xf numFmtId="166" fontId="5" fillId="2" borderId="81" xfId="2408" applyNumberFormat="1" applyFont="1" applyFill="1" applyBorder="1" applyAlignment="1" applyProtection="1">
      <alignment horizontal="right" vertical="center"/>
    </xf>
    <xf numFmtId="165" fontId="5" fillId="2" borderId="0" xfId="21" applyNumberFormat="1" applyFont="1" applyFill="1" applyAlignment="1" applyProtection="1">
      <alignment horizontal="right" vertical="center"/>
    </xf>
    <xf numFmtId="166" fontId="5" fillId="2" borderId="0" xfId="2408" applyNumberFormat="1" applyFont="1" applyFill="1" applyAlignment="1" applyProtection="1">
      <alignment horizontal="right" vertical="center"/>
    </xf>
    <xf numFmtId="173" fontId="6" fillId="0" borderId="0" xfId="4" applyNumberFormat="1" applyFont="1" applyFill="1" applyAlignment="1" applyProtection="1">
      <alignment horizontal="center" vertical="center"/>
    </xf>
    <xf numFmtId="165" fontId="5" fillId="0" borderId="0" xfId="21" applyNumberFormat="1" applyFont="1" applyFill="1" applyAlignment="1" applyProtection="1">
      <alignment horizontal="right" vertical="center"/>
    </xf>
    <xf numFmtId="166" fontId="5" fillId="0" borderId="0" xfId="2408" applyNumberFormat="1" applyFont="1" applyFill="1" applyAlignment="1" applyProtection="1">
      <alignment horizontal="right" vertical="center"/>
    </xf>
    <xf numFmtId="166" fontId="5" fillId="0" borderId="81" xfId="2408" applyNumberFormat="1" applyFont="1" applyFill="1" applyBorder="1" applyAlignment="1" applyProtection="1">
      <alignment horizontal="right" vertical="center"/>
    </xf>
    <xf numFmtId="165" fontId="5" fillId="0" borderId="46" xfId="21" applyNumberFormat="1" applyFont="1" applyFill="1" applyBorder="1" applyAlignment="1" applyProtection="1">
      <alignment horizontal="right" vertical="center"/>
    </xf>
    <xf numFmtId="9" fontId="5" fillId="3" borderId="126" xfId="3" applyNumberFormat="1" applyFont="1" applyFill="1" applyBorder="1" applyAlignment="1">
      <alignment horizontal="right" vertical="center"/>
    </xf>
    <xf numFmtId="41" fontId="5" fillId="0" borderId="0" xfId="21" applyNumberFormat="1" applyFont="1" applyBorder="1" applyAlignment="1">
      <alignment horizontal="center"/>
    </xf>
    <xf numFmtId="44" fontId="5" fillId="0" borderId="0" xfId="0" applyNumberFormat="1" applyFont="1" applyFill="1" applyAlignment="1">
      <alignment vertical="center"/>
    </xf>
    <xf numFmtId="165" fontId="5" fillId="0" borderId="126" xfId="2" applyNumberFormat="1" applyFont="1" applyFill="1" applyBorder="1" applyAlignment="1">
      <alignment vertical="center"/>
    </xf>
    <xf numFmtId="166" fontId="5" fillId="2" borderId="94" xfId="1" applyNumberFormat="1" applyFont="1" applyFill="1" applyBorder="1" applyAlignment="1">
      <alignment horizontal="right" vertical="center"/>
    </xf>
    <xf numFmtId="166" fontId="5" fillId="3" borderId="0" xfId="2038" applyNumberFormat="1" applyFont="1" applyFill="1" applyAlignment="1">
      <alignment vertical="center"/>
    </xf>
    <xf numFmtId="166" fontId="5" fillId="3" borderId="0" xfId="2038" applyNumberFormat="1" applyFont="1" applyFill="1" applyBorder="1" applyAlignment="1">
      <alignment vertical="center"/>
    </xf>
    <xf numFmtId="165" fontId="5" fillId="0" borderId="135" xfId="2" applyNumberFormat="1" applyFont="1" applyFill="1" applyBorder="1" applyAlignment="1">
      <alignment vertical="center"/>
    </xf>
    <xf numFmtId="166" fontId="5" fillId="0" borderId="138" xfId="1" applyNumberFormat="1" applyFont="1" applyFill="1" applyBorder="1" applyAlignment="1">
      <alignment vertical="center"/>
    </xf>
    <xf numFmtId="166" fontId="6" fillId="0" borderId="0" xfId="0" applyNumberFormat="1" applyFont="1" applyAlignment="1">
      <alignment vertical="center"/>
    </xf>
    <xf numFmtId="165" fontId="6" fillId="0" borderId="0" xfId="0" applyNumberFormat="1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72" xfId="1965" applyFont="1" applyBorder="1"/>
    <xf numFmtId="44" fontId="6" fillId="0" borderId="72" xfId="4" applyNumberFormat="1" applyFont="1" applyBorder="1"/>
    <xf numFmtId="165" fontId="27" fillId="0" borderId="0" xfId="2" applyNumberFormat="1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7" fillId="0" borderId="0" xfId="0" applyFont="1" applyFill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27" fillId="0" borderId="0" xfId="0" applyFont="1" applyBorder="1" applyAlignment="1">
      <alignment vertical="center"/>
    </xf>
    <xf numFmtId="166" fontId="27" fillId="0" borderId="0" xfId="1" applyNumberFormat="1" applyFont="1" applyFill="1" applyAlignment="1">
      <alignment vertical="center"/>
    </xf>
    <xf numFmtId="0" fontId="13" fillId="0" borderId="0" xfId="0" quotePrefix="1" applyFont="1" applyAlignment="1">
      <alignment horizontal="center" vertical="center"/>
    </xf>
    <xf numFmtId="0" fontId="13" fillId="0" borderId="0" xfId="0" quotePrefix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3" fillId="0" borderId="0" xfId="4" applyFont="1" applyBorder="1" applyAlignment="1">
      <alignment horizontal="center" vertical="center"/>
    </xf>
    <xf numFmtId="0" fontId="117" fillId="0" borderId="0" xfId="0" applyFont="1" applyAlignment="1">
      <alignment horizontal="center" vertical="center"/>
    </xf>
    <xf numFmtId="0" fontId="5" fillId="0" borderId="0" xfId="4" applyFont="1" applyBorder="1" applyAlignment="1">
      <alignment horizontal="left" vertical="center"/>
    </xf>
    <xf numFmtId="1" fontId="5" fillId="0" borderId="0" xfId="4" applyNumberFormat="1" applyFont="1" applyFill="1" applyBorder="1" applyAlignment="1">
      <alignment horizontal="center" vertical="center"/>
    </xf>
    <xf numFmtId="165" fontId="5" fillId="0" borderId="0" xfId="2" applyNumberFormat="1" applyFont="1" applyFill="1" applyBorder="1" applyAlignment="1">
      <alignment horizontal="right" vertical="center"/>
    </xf>
    <xf numFmtId="0" fontId="5" fillId="0" borderId="0" xfId="4" applyNumberFormat="1" applyFont="1" applyFill="1" applyBorder="1" applyAlignment="1">
      <alignment horizontal="left" vertical="center"/>
    </xf>
    <xf numFmtId="166" fontId="27" fillId="0" borderId="0" xfId="1" applyNumberFormat="1" applyFont="1" applyFill="1" applyAlignment="1">
      <alignment horizontal="right" vertical="center"/>
    </xf>
    <xf numFmtId="166" fontId="5" fillId="0" borderId="0" xfId="1" applyNumberFormat="1" applyFont="1" applyFill="1" applyBorder="1" applyAlignment="1">
      <alignment horizontal="right" vertical="center"/>
    </xf>
    <xf numFmtId="10" fontId="27" fillId="0" borderId="0" xfId="3" applyNumberFormat="1" applyFont="1" applyAlignment="1">
      <alignment vertical="center"/>
    </xf>
    <xf numFmtId="0" fontId="5" fillId="0" borderId="147" xfId="4" applyNumberFormat="1" applyFont="1" applyFill="1" applyBorder="1" applyAlignment="1">
      <alignment horizontal="left" vertical="center"/>
    </xf>
    <xf numFmtId="1" fontId="5" fillId="0" borderId="147" xfId="4" applyNumberFormat="1" applyFont="1" applyFill="1" applyBorder="1" applyAlignment="1">
      <alignment horizontal="center" vertical="center"/>
    </xf>
    <xf numFmtId="166" fontId="27" fillId="0" borderId="147" xfId="1" applyNumberFormat="1" applyFont="1" applyFill="1" applyBorder="1" applyAlignment="1">
      <alignment horizontal="right" vertical="center"/>
    </xf>
    <xf numFmtId="166" fontId="27" fillId="0" borderId="147" xfId="1" applyNumberFormat="1" applyFont="1" applyFill="1" applyBorder="1" applyAlignment="1">
      <alignment vertical="center"/>
    </xf>
    <xf numFmtId="166" fontId="5" fillId="0" borderId="147" xfId="1" applyNumberFormat="1" applyFont="1" applyFill="1" applyBorder="1" applyAlignment="1">
      <alignment horizontal="right" vertical="center"/>
    </xf>
    <xf numFmtId="165" fontId="27" fillId="0" borderId="146" xfId="2" applyNumberFormat="1" applyFont="1" applyFill="1" applyBorder="1" applyAlignment="1">
      <alignment vertical="center"/>
    </xf>
    <xf numFmtId="214" fontId="27" fillId="0" borderId="0" xfId="0" applyNumberFormat="1" applyFont="1" applyFill="1" applyAlignment="1">
      <alignment vertical="center"/>
    </xf>
    <xf numFmtId="0" fontId="11" fillId="0" borderId="0" xfId="3840" quotePrefix="1" applyFont="1" applyFill="1" applyAlignment="1">
      <alignment horizontal="center" vertical="center"/>
    </xf>
    <xf numFmtId="0" fontId="27" fillId="0" borderId="0" xfId="0" applyFont="1" applyFill="1" applyBorder="1" applyAlignment="1">
      <alignment vertical="center"/>
    </xf>
    <xf numFmtId="184" fontId="5" fillId="0" borderId="0" xfId="0" applyNumberFormat="1" applyFont="1" applyFill="1" applyAlignment="1">
      <alignment horizontal="right" vertical="center"/>
    </xf>
    <xf numFmtId="184" fontId="5" fillId="0" borderId="147" xfId="0" applyNumberFormat="1" applyFont="1" applyFill="1" applyBorder="1" applyAlignment="1">
      <alignment horizontal="right" vertical="center"/>
    </xf>
    <xf numFmtId="0" fontId="5" fillId="0" borderId="0" xfId="4" applyFont="1" applyFill="1" applyBorder="1" applyAlignment="1">
      <alignment horizontal="left" vertical="center"/>
    </xf>
    <xf numFmtId="10" fontId="27" fillId="0" borderId="0" xfId="0" applyNumberFormat="1" applyFont="1" applyFill="1" applyAlignment="1">
      <alignment vertical="center"/>
    </xf>
    <xf numFmtId="184" fontId="27" fillId="0" borderId="0" xfId="0" quotePrefix="1" applyNumberFormat="1" applyFont="1" applyFill="1" applyAlignment="1">
      <alignment horizontal="center" vertical="center"/>
    </xf>
    <xf numFmtId="184" fontId="27" fillId="0" borderId="0" xfId="0" applyNumberFormat="1" applyFont="1" applyFill="1" applyAlignment="1">
      <alignment vertical="center"/>
    </xf>
    <xf numFmtId="184" fontId="27" fillId="0" borderId="0" xfId="0" applyNumberFormat="1" applyFont="1" applyBorder="1" applyAlignment="1">
      <alignment horizontal="right" vertical="center"/>
    </xf>
    <xf numFmtId="0" fontId="6" fillId="0" borderId="0" xfId="4" applyNumberFormat="1" applyFont="1" applyFill="1" applyBorder="1" applyAlignment="1">
      <alignment horizontal="left" vertical="center"/>
    </xf>
    <xf numFmtId="1" fontId="6" fillId="0" borderId="0" xfId="4" applyNumberFormat="1" applyFont="1" applyFill="1" applyBorder="1" applyAlignment="1">
      <alignment horizontal="center" vertical="center"/>
    </xf>
    <xf numFmtId="184" fontId="29" fillId="0" borderId="0" xfId="0" quotePrefix="1" applyNumberFormat="1" applyFont="1" applyFill="1" applyAlignment="1">
      <alignment horizontal="center" vertical="center"/>
    </xf>
    <xf numFmtId="184" fontId="6" fillId="0" borderId="0" xfId="0" applyNumberFormat="1" applyFont="1" applyFill="1" applyAlignment="1">
      <alignment horizontal="right" vertical="center"/>
    </xf>
    <xf numFmtId="184" fontId="29" fillId="0" borderId="0" xfId="0" applyNumberFormat="1" applyFont="1" applyFill="1" applyAlignment="1">
      <alignment vertical="center"/>
    </xf>
    <xf numFmtId="10" fontId="29" fillId="0" borderId="0" xfId="0" applyNumberFormat="1" applyFont="1" applyFill="1" applyAlignment="1">
      <alignment vertical="center"/>
    </xf>
    <xf numFmtId="184" fontId="29" fillId="0" borderId="0" xfId="0" applyNumberFormat="1" applyFont="1" applyBorder="1" applyAlignment="1">
      <alignment horizontal="right" vertical="center"/>
    </xf>
    <xf numFmtId="184" fontId="29" fillId="0" borderId="0" xfId="0" applyNumberFormat="1" applyFont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184" fontId="117" fillId="0" borderId="0" xfId="0" applyNumberFormat="1" applyFont="1" applyAlignment="1">
      <alignment horizontal="center" vertical="center"/>
    </xf>
    <xf numFmtId="1" fontId="5" fillId="0" borderId="0" xfId="55" applyNumberFormat="1" applyFont="1" applyFill="1" applyBorder="1" applyAlignment="1">
      <alignment horizontal="center" vertical="center"/>
    </xf>
    <xf numFmtId="10" fontId="27" fillId="2" borderId="0" xfId="0" applyNumberFormat="1" applyFont="1" applyFill="1" applyBorder="1" applyAlignment="1">
      <alignment vertical="center"/>
    </xf>
    <xf numFmtId="165" fontId="27" fillId="2" borderId="0" xfId="2" applyNumberFormat="1" applyFont="1" applyFill="1" applyAlignment="1">
      <alignment horizontal="right" vertical="center"/>
    </xf>
    <xf numFmtId="165" fontId="5" fillId="0" borderId="0" xfId="2" quotePrefix="1" applyNumberFormat="1" applyFont="1" applyAlignment="1">
      <alignment horizontal="center" vertical="center"/>
    </xf>
    <xf numFmtId="10" fontId="27" fillId="0" borderId="0" xfId="0" applyNumberFormat="1" applyFont="1" applyFill="1" applyBorder="1" applyAlignment="1">
      <alignment vertical="center"/>
    </xf>
    <xf numFmtId="166" fontId="5" fillId="0" borderId="0" xfId="1" quotePrefix="1" applyNumberFormat="1" applyFont="1" applyAlignment="1">
      <alignment horizontal="center" vertical="center"/>
    </xf>
    <xf numFmtId="8" fontId="27" fillId="0" borderId="0" xfId="0" applyNumberFormat="1" applyFont="1" applyAlignment="1">
      <alignment vertical="center"/>
    </xf>
    <xf numFmtId="212" fontId="27" fillId="0" borderId="0" xfId="3" applyNumberFormat="1" applyFont="1" applyAlignment="1">
      <alignment vertical="center"/>
    </xf>
    <xf numFmtId="0" fontId="5" fillId="0" borderId="147" xfId="4" applyFont="1" applyBorder="1" applyAlignment="1">
      <alignment horizontal="left" vertical="center"/>
    </xf>
    <xf numFmtId="1" fontId="5" fillId="0" borderId="147" xfId="55" applyNumberFormat="1" applyFont="1" applyFill="1" applyBorder="1" applyAlignment="1">
      <alignment horizontal="center" vertical="center"/>
    </xf>
    <xf numFmtId="10" fontId="27" fillId="0" borderId="147" xfId="0" applyNumberFormat="1" applyFont="1" applyFill="1" applyBorder="1" applyAlignment="1">
      <alignment vertical="center"/>
    </xf>
    <xf numFmtId="166" fontId="5" fillId="0" borderId="147" xfId="1" quotePrefix="1" applyNumberFormat="1" applyFont="1" applyBorder="1" applyAlignment="1">
      <alignment horizontal="center" vertical="center"/>
    </xf>
    <xf numFmtId="214" fontId="27" fillId="0" borderId="0" xfId="0" quotePrefix="1" applyNumberFormat="1" applyFont="1" applyFill="1" applyAlignment="1">
      <alignment horizontal="center" vertical="center"/>
    </xf>
    <xf numFmtId="214" fontId="27" fillId="0" borderId="0" xfId="0" applyNumberFormat="1" applyFont="1" applyFill="1" applyBorder="1" applyAlignment="1">
      <alignment vertical="center"/>
    </xf>
    <xf numFmtId="215" fontId="5" fillId="3" borderId="0" xfId="2038" applyNumberFormat="1" applyFont="1" applyFill="1" applyAlignment="1">
      <alignment vertical="center"/>
    </xf>
    <xf numFmtId="0" fontId="6" fillId="0" borderId="0" xfId="4" applyFont="1" applyAlignment="1">
      <alignment horizontal="center"/>
    </xf>
    <xf numFmtId="0" fontId="6" fillId="0" borderId="0" xfId="1965" applyFont="1" applyAlignment="1">
      <alignment horizontal="center"/>
    </xf>
    <xf numFmtId="0" fontId="6" fillId="0" borderId="0" xfId="2012" applyFont="1" applyAlignment="1" applyProtection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4" applyFont="1" applyAlignment="1" applyProtection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4" applyFont="1" applyFill="1" applyBorder="1" applyAlignment="1">
      <alignment horizontal="center"/>
    </xf>
    <xf numFmtId="37" fontId="6" fillId="0" borderId="0" xfId="0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4" applyFont="1" applyAlignment="1"/>
    <xf numFmtId="165" fontId="5" fillId="0" borderId="0" xfId="0" applyNumberFormat="1" applyFont="1"/>
    <xf numFmtId="166" fontId="5" fillId="0" borderId="0" xfId="0" applyNumberFormat="1" applyFont="1"/>
    <xf numFmtId="9" fontId="5" fillId="0" borderId="0" xfId="3" applyNumberFormat="1" applyFont="1"/>
    <xf numFmtId="0" fontId="5" fillId="0" borderId="4" xfId="4" applyFont="1" applyBorder="1"/>
    <xf numFmtId="0" fontId="6" fillId="0" borderId="0" xfId="2012" applyFont="1" applyProtection="1">
      <protection locked="0"/>
    </xf>
    <xf numFmtId="165" fontId="5" fillId="2" borderId="0" xfId="2" applyNumberFormat="1" applyFont="1" applyFill="1" applyBorder="1" applyAlignment="1" applyProtection="1">
      <alignment horizontal="right" vertical="center"/>
      <protection locked="0"/>
    </xf>
    <xf numFmtId="10" fontId="5" fillId="0" borderId="0" xfId="3" applyNumberFormat="1" applyFont="1"/>
    <xf numFmtId="5" fontId="5" fillId="0" borderId="0" xfId="2012" applyNumberFormat="1" applyFont="1" applyBorder="1" applyAlignment="1" applyProtection="1">
      <alignment horizontal="right" vertical="center"/>
      <protection locked="0"/>
    </xf>
    <xf numFmtId="5" fontId="5" fillId="0" borderId="0" xfId="2012" applyNumberFormat="1" applyFont="1" applyBorder="1" applyAlignment="1" applyProtection="1">
      <alignment horizontal="right"/>
      <protection locked="0"/>
    </xf>
    <xf numFmtId="5" fontId="6" fillId="0" borderId="0" xfId="2012" applyNumberFormat="1" applyFont="1" applyBorder="1" applyAlignment="1" applyProtection="1">
      <alignment horizontal="right" vertical="center"/>
      <protection locked="0"/>
    </xf>
    <xf numFmtId="5" fontId="6" fillId="0" borderId="0" xfId="2012" applyNumberFormat="1" applyFont="1" applyBorder="1" applyAlignment="1" applyProtection="1">
      <alignment horizontal="right"/>
      <protection locked="0"/>
    </xf>
    <xf numFmtId="184" fontId="5" fillId="0" borderId="0" xfId="0" applyNumberFormat="1" applyFont="1" applyAlignment="1">
      <alignment vertical="center"/>
    </xf>
    <xf numFmtId="10" fontId="5" fillId="3" borderId="0" xfId="3" applyNumberFormat="1" applyFont="1" applyFill="1" applyAlignment="1">
      <alignment horizontal="center" vertical="center"/>
    </xf>
    <xf numFmtId="165" fontId="5" fillId="0" borderId="0" xfId="2" applyNumberFormat="1" applyFont="1" applyAlignment="1">
      <alignment horizontal="right" vertical="center"/>
    </xf>
    <xf numFmtId="166" fontId="5" fillId="0" borderId="0" xfId="1" applyNumberFormat="1" applyFont="1" applyFill="1" applyAlignment="1">
      <alignment horizontal="right" vertical="center"/>
    </xf>
    <xf numFmtId="166" fontId="5" fillId="0" borderId="0" xfId="1" applyNumberFormat="1" applyFont="1" applyAlignment="1">
      <alignment horizontal="center" vertical="center"/>
    </xf>
    <xf numFmtId="166" fontId="5" fillId="0" borderId="0" xfId="1" applyNumberFormat="1" applyFont="1" applyAlignment="1">
      <alignment horizontal="right" vertical="center"/>
    </xf>
    <xf numFmtId="207" fontId="5" fillId="0" borderId="0" xfId="3" applyNumberFormat="1" applyFont="1" applyAlignment="1">
      <alignment vertical="center"/>
    </xf>
    <xf numFmtId="10" fontId="5" fillId="3" borderId="147" xfId="3" applyNumberFormat="1" applyFont="1" applyFill="1" applyBorder="1" applyAlignment="1">
      <alignment horizontal="center" vertical="center"/>
    </xf>
    <xf numFmtId="166" fontId="5" fillId="0" borderId="147" xfId="1" applyNumberFormat="1" applyFont="1" applyBorder="1" applyAlignment="1">
      <alignment horizontal="center" vertical="center"/>
    </xf>
    <xf numFmtId="166" fontId="5" fillId="0" borderId="147" xfId="1" applyNumberFormat="1" applyFont="1" applyBorder="1" applyAlignment="1">
      <alignment horizontal="right" vertical="center"/>
    </xf>
    <xf numFmtId="165" fontId="5" fillId="0" borderId="146" xfId="2" applyNumberFormat="1" applyFont="1" applyFill="1" applyBorder="1" applyAlignment="1">
      <alignment vertical="center"/>
    </xf>
    <xf numFmtId="213" fontId="5" fillId="0" borderId="146" xfId="2" applyNumberFormat="1" applyFont="1" applyBorder="1" applyAlignment="1">
      <alignment vertical="center"/>
    </xf>
    <xf numFmtId="213" fontId="5" fillId="0" borderId="0" xfId="2" applyNumberFormat="1" applyFont="1" applyAlignment="1">
      <alignment vertical="center"/>
    </xf>
    <xf numFmtId="214" fontId="5" fillId="0" borderId="0" xfId="0" applyNumberFormat="1" applyFont="1" applyFill="1" applyAlignment="1">
      <alignment vertical="center"/>
    </xf>
    <xf numFmtId="214" fontId="5" fillId="0" borderId="0" xfId="0" applyNumberFormat="1" applyFont="1" applyAlignment="1">
      <alignment vertical="center"/>
    </xf>
    <xf numFmtId="0" fontId="160" fillId="0" borderId="0" xfId="0" applyFont="1" applyAlignment="1">
      <alignment vertical="center"/>
    </xf>
    <xf numFmtId="8" fontId="5" fillId="0" borderId="0" xfId="0" applyNumberFormat="1" applyFont="1" applyFill="1" applyAlignment="1">
      <alignment vertical="center"/>
    </xf>
    <xf numFmtId="165" fontId="5" fillId="0" borderId="10" xfId="21" applyNumberFormat="1" applyFont="1" applyFill="1" applyBorder="1" applyAlignment="1">
      <alignment horizontal="center"/>
    </xf>
    <xf numFmtId="10" fontId="5" fillId="2" borderId="0" xfId="0" applyNumberFormat="1" applyFont="1" applyFill="1" applyAlignment="1">
      <alignment vertical="center"/>
    </xf>
    <xf numFmtId="10" fontId="5" fillId="2" borderId="147" xfId="0" applyNumberFormat="1" applyFont="1" applyFill="1" applyBorder="1" applyAlignment="1">
      <alignment vertical="center"/>
    </xf>
    <xf numFmtId="10" fontId="5" fillId="0" borderId="0" xfId="0" applyNumberFormat="1" applyFont="1" applyFill="1" applyAlignment="1">
      <alignment vertical="center"/>
    </xf>
    <xf numFmtId="214" fontId="5" fillId="0" borderId="0" xfId="0" applyNumberFormat="1" applyFont="1" applyFill="1" applyAlignment="1">
      <alignment horizontal="right" vertical="center"/>
    </xf>
    <xf numFmtId="165" fontId="5" fillId="0" borderId="146" xfId="2" applyNumberFormat="1" applyFont="1" applyFill="1" applyBorder="1" applyAlignment="1">
      <alignment horizontal="right" vertical="center"/>
    </xf>
    <xf numFmtId="214" fontId="5" fillId="0" borderId="0" xfId="0" applyNumberFormat="1" applyFont="1" applyFill="1" applyBorder="1" applyAlignment="1">
      <alignment horizontal="right" vertical="center"/>
    </xf>
    <xf numFmtId="184" fontId="5" fillId="0" borderId="0" xfId="0" quotePrefix="1" applyNumberFormat="1" applyFont="1" applyFill="1" applyAlignment="1">
      <alignment horizontal="center" vertical="center"/>
    </xf>
    <xf numFmtId="184" fontId="5" fillId="0" borderId="0" xfId="0" applyNumberFormat="1" applyFont="1" applyFill="1" applyAlignment="1">
      <alignment vertical="center"/>
    </xf>
    <xf numFmtId="184" fontId="5" fillId="0" borderId="0" xfId="0" applyNumberFormat="1" applyFont="1" applyBorder="1" applyAlignment="1">
      <alignment horizontal="right" vertical="center"/>
    </xf>
    <xf numFmtId="184" fontId="5" fillId="0" borderId="0" xfId="0" applyNumberFormat="1" applyFont="1" applyBorder="1" applyAlignment="1">
      <alignment horizontal="center" vertical="center"/>
    </xf>
    <xf numFmtId="184" fontId="5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5" fillId="0" borderId="4" xfId="3856" applyFont="1" applyBorder="1" applyAlignment="1">
      <alignment horizontal="center" vertical="center"/>
    </xf>
    <xf numFmtId="0" fontId="5" fillId="0" borderId="121" xfId="3856" applyFont="1" applyBorder="1"/>
    <xf numFmtId="14" fontId="6" fillId="0" borderId="86" xfId="3856" applyNumberFormat="1" applyFont="1" applyBorder="1" applyAlignment="1">
      <alignment horizontal="center"/>
    </xf>
    <xf numFmtId="0" fontId="6" fillId="0" borderId="123" xfId="3856" applyFont="1" applyBorder="1" applyAlignment="1">
      <alignment horizontal="center"/>
    </xf>
    <xf numFmtId="0" fontId="5" fillId="0" borderId="3" xfId="3856" applyFont="1" applyBorder="1" applyAlignment="1">
      <alignment horizontal="center" vertical="center"/>
    </xf>
    <xf numFmtId="0" fontId="5" fillId="0" borderId="4" xfId="3856" applyFont="1" applyBorder="1"/>
    <xf numFmtId="0" fontId="6" fillId="0" borderId="102" xfId="3856" applyFont="1" applyBorder="1"/>
    <xf numFmtId="0" fontId="6" fillId="0" borderId="102" xfId="3856" applyFont="1" applyBorder="1" applyAlignment="1">
      <alignment horizontal="center"/>
    </xf>
    <xf numFmtId="0" fontId="6" fillId="0" borderId="0" xfId="3856" applyFont="1" applyBorder="1" applyAlignment="1">
      <alignment horizontal="center"/>
    </xf>
    <xf numFmtId="0" fontId="6" fillId="0" borderId="94" xfId="3856" applyFont="1" applyBorder="1" applyAlignment="1">
      <alignment horizontal="center"/>
    </xf>
    <xf numFmtId="0" fontId="6" fillId="0" borderId="109" xfId="3856" applyFont="1" applyBorder="1" applyAlignment="1">
      <alignment horizontal="center"/>
    </xf>
    <xf numFmtId="0" fontId="6" fillId="0" borderId="90" xfId="3856" applyFont="1" applyBorder="1" applyAlignment="1">
      <alignment horizontal="center"/>
    </xf>
    <xf numFmtId="0" fontId="6" fillId="0" borderId="126" xfId="3856" applyFont="1" applyBorder="1" applyAlignment="1">
      <alignment horizontal="center"/>
    </xf>
    <xf numFmtId="0" fontId="6" fillId="0" borderId="105" xfId="3856" applyFont="1" applyBorder="1" applyAlignment="1">
      <alignment horizontal="center"/>
    </xf>
    <xf numFmtId="0" fontId="5" fillId="0" borderId="0" xfId="3856" applyFont="1"/>
    <xf numFmtId="44" fontId="5" fillId="0" borderId="0" xfId="0" applyNumberFormat="1" applyFont="1"/>
    <xf numFmtId="0" fontId="5" fillId="0" borderId="126" xfId="3856" applyFont="1" applyBorder="1"/>
    <xf numFmtId="0" fontId="5" fillId="0" borderId="90" xfId="3856" applyFont="1" applyBorder="1"/>
    <xf numFmtId="0" fontId="5" fillId="0" borderId="105" xfId="3856" applyFont="1" applyBorder="1" applyAlignment="1">
      <alignment horizontal="center"/>
    </xf>
    <xf numFmtId="0" fontId="5" fillId="0" borderId="0" xfId="3856" applyFont="1" applyBorder="1" applyAlignment="1">
      <alignment horizontal="center" vertical="center"/>
    </xf>
    <xf numFmtId="0" fontId="11" fillId="0" borderId="0" xfId="3856" applyFont="1" applyBorder="1" applyAlignment="1">
      <alignment horizontal="center" vertical="center"/>
    </xf>
    <xf numFmtId="0" fontId="5" fillId="0" borderId="0" xfId="3856" applyFont="1" applyFill="1"/>
    <xf numFmtId="41" fontId="5" fillId="0" borderId="0" xfId="3857" applyFont="1"/>
    <xf numFmtId="5" fontId="5" fillId="0" borderId="0" xfId="0" applyNumberFormat="1" applyFont="1" applyAlignment="1">
      <alignment horizontal="left" vertical="center"/>
    </xf>
    <xf numFmtId="0" fontId="6" fillId="0" borderId="0" xfId="1042" applyFont="1" applyAlignment="1">
      <alignment vertical="center"/>
    </xf>
    <xf numFmtId="0" fontId="6" fillId="0" borderId="0" xfId="1042" applyFont="1"/>
    <xf numFmtId="0" fontId="5" fillId="0" borderId="0" xfId="1042" applyFont="1" applyBorder="1" applyAlignment="1">
      <alignment horizontal="center" vertical="center"/>
    </xf>
    <xf numFmtId="0" fontId="6" fillId="0" borderId="142" xfId="1042" applyFont="1" applyBorder="1" applyAlignment="1">
      <alignment horizontal="center"/>
    </xf>
    <xf numFmtId="0" fontId="6" fillId="0" borderId="8" xfId="1042" applyFont="1" applyBorder="1"/>
    <xf numFmtId="0" fontId="6" fillId="0" borderId="137" xfId="1042" applyFont="1" applyBorder="1" applyAlignment="1">
      <alignment horizontal="center"/>
    </xf>
    <xf numFmtId="0" fontId="6" fillId="0" borderId="133" xfId="1042" applyFont="1" applyBorder="1" applyAlignment="1">
      <alignment horizontal="center"/>
    </xf>
    <xf numFmtId="0" fontId="6" fillId="0" borderId="147" xfId="1042" applyFont="1" applyBorder="1" applyAlignment="1">
      <alignment horizontal="center"/>
    </xf>
    <xf numFmtId="0" fontId="6" fillId="0" borderId="139" xfId="1042" applyFont="1" applyBorder="1" applyAlignment="1">
      <alignment horizontal="center"/>
    </xf>
    <xf numFmtId="0" fontId="5" fillId="0" borderId="9" xfId="1042" applyFont="1" applyBorder="1" applyAlignment="1">
      <alignment horizontal="left"/>
    </xf>
    <xf numFmtId="0" fontId="5" fillId="0" borderId="94" xfId="1042" applyFont="1" applyBorder="1"/>
    <xf numFmtId="0" fontId="5" fillId="0" borderId="113" xfId="1042" applyFont="1" applyBorder="1" applyAlignment="1">
      <alignment horizontal="left"/>
    </xf>
    <xf numFmtId="0" fontId="5" fillId="0" borderId="90" xfId="1042" applyFont="1" applyBorder="1"/>
    <xf numFmtId="0" fontId="5" fillId="0" borderId="9" xfId="1042" applyFont="1" applyBorder="1"/>
    <xf numFmtId="0" fontId="5" fillId="0" borderId="4" xfId="1042" applyFont="1" applyBorder="1"/>
    <xf numFmtId="166" fontId="5" fillId="0" borderId="135" xfId="2406" applyNumberFormat="1" applyFont="1" applyFill="1" applyBorder="1" applyAlignment="1">
      <alignment vertical="center"/>
    </xf>
    <xf numFmtId="0" fontId="6" fillId="0" borderId="9" xfId="1042" applyFont="1" applyBorder="1"/>
    <xf numFmtId="0" fontId="6" fillId="0" borderId="94" xfId="1042" applyFont="1" applyBorder="1"/>
    <xf numFmtId="165" fontId="6" fillId="0" borderId="140" xfId="38092" applyNumberFormat="1" applyFont="1" applyBorder="1" applyAlignment="1">
      <alignment vertical="center"/>
    </xf>
    <xf numFmtId="0" fontId="6" fillId="0" borderId="56" xfId="1042" applyFont="1" applyBorder="1" applyAlignment="1">
      <alignment horizontal="right"/>
    </xf>
    <xf numFmtId="0" fontId="6" fillId="0" borderId="141" xfId="1042" applyFont="1" applyBorder="1" applyAlignment="1">
      <alignment horizontal="right"/>
    </xf>
    <xf numFmtId="43" fontId="5" fillId="0" borderId="138" xfId="1042" applyNumberFormat="1" applyFont="1" applyBorder="1"/>
    <xf numFmtId="0" fontId="6" fillId="0" borderId="0" xfId="1042" applyFont="1" applyAlignment="1">
      <alignment horizontal="center" vertical="center"/>
    </xf>
    <xf numFmtId="43" fontId="6" fillId="0" borderId="0" xfId="1042" applyNumberFormat="1" applyFont="1"/>
    <xf numFmtId="0" fontId="11" fillId="0" borderId="0" xfId="1042" applyFont="1" applyFill="1" applyAlignment="1">
      <alignment horizontal="center" vertical="center"/>
    </xf>
    <xf numFmtId="0" fontId="5" fillId="0" borderId="0" xfId="1042" applyFont="1" applyFill="1"/>
    <xf numFmtId="0" fontId="6" fillId="0" borderId="0" xfId="1042" applyFont="1" applyFill="1"/>
    <xf numFmtId="0" fontId="11" fillId="0" borderId="0" xfId="1042" applyFont="1" applyAlignment="1">
      <alignment horizontal="center" vertical="center"/>
    </xf>
    <xf numFmtId="172" fontId="6" fillId="0" borderId="0" xfId="0" applyNumberFormat="1" applyFont="1" applyFill="1" applyBorder="1"/>
    <xf numFmtId="0" fontId="5" fillId="0" borderId="0" xfId="1604" applyFont="1" applyFill="1" applyBorder="1" applyAlignment="1">
      <alignment wrapText="1"/>
    </xf>
    <xf numFmtId="37" fontId="6" fillId="0" borderId="94" xfId="12" applyNumberFormat="1" applyFont="1" applyFill="1" applyBorder="1" applyAlignment="1">
      <alignment horizontal="left" vertical="center"/>
    </xf>
    <xf numFmtId="37" fontId="6" fillId="0" borderId="0" xfId="0" applyNumberFormat="1" applyFont="1" applyBorder="1" applyAlignment="1">
      <alignment horizontal="right" vertical="center"/>
    </xf>
    <xf numFmtId="37" fontId="6" fillId="0" borderId="10" xfId="0" applyNumberFormat="1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5" fillId="0" borderId="53" xfId="0" applyFont="1" applyBorder="1" applyAlignment="1">
      <alignment vertical="center"/>
    </xf>
    <xf numFmtId="0" fontId="5" fillId="0" borderId="0" xfId="1962" applyFont="1" applyBorder="1" applyAlignment="1">
      <alignment horizontal="center" vertical="center"/>
    </xf>
    <xf numFmtId="0" fontId="6" fillId="0" borderId="0" xfId="1962" applyFont="1" applyBorder="1"/>
    <xf numFmtId="0" fontId="6" fillId="0" borderId="0" xfId="1962" applyFont="1" applyFill="1" applyBorder="1"/>
    <xf numFmtId="0" fontId="11" fillId="0" borderId="0" xfId="1962" applyFont="1" applyBorder="1" applyAlignment="1">
      <alignment horizontal="center" vertical="center"/>
    </xf>
    <xf numFmtId="0" fontId="5" fillId="0" borderId="0" xfId="1962" applyFont="1" applyFill="1" applyBorder="1"/>
    <xf numFmtId="0" fontId="17" fillId="0" borderId="0" xfId="0" applyFont="1" applyBorder="1" applyAlignment="1">
      <alignment horizontal="center" vertical="center"/>
    </xf>
    <xf numFmtId="0" fontId="157" fillId="0" borderId="0" xfId="4" applyFont="1" applyFill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43" fontId="5" fillId="0" borderId="135" xfId="1442" applyNumberFormat="1" applyFont="1" applyFill="1" applyBorder="1"/>
    <xf numFmtId="166" fontId="5" fillId="0" borderId="135" xfId="1442" applyNumberFormat="1" applyFont="1" applyFill="1" applyBorder="1"/>
    <xf numFmtId="0" fontId="5" fillId="0" borderId="72" xfId="0" applyFont="1" applyBorder="1" applyAlignment="1">
      <alignment horizontal="left"/>
    </xf>
    <xf numFmtId="0" fontId="5" fillId="0" borderId="55" xfId="0" applyFont="1" applyBorder="1" applyAlignment="1">
      <alignment horizontal="left"/>
    </xf>
    <xf numFmtId="166" fontId="5" fillId="0" borderId="139" xfId="1442" applyNumberFormat="1" applyFont="1" applyBorder="1"/>
    <xf numFmtId="166" fontId="5" fillId="0" borderId="135" xfId="1" applyNumberFormat="1" applyFont="1" applyBorder="1"/>
    <xf numFmtId="165" fontId="6" fillId="0" borderId="135" xfId="2" applyNumberFormat="1" applyFont="1" applyBorder="1"/>
    <xf numFmtId="0" fontId="5" fillId="0" borderId="0" xfId="0" applyFont="1" applyBorder="1" applyAlignment="1">
      <alignment horizontal="left" wrapText="1"/>
    </xf>
    <xf numFmtId="165" fontId="6" fillId="0" borderId="140" xfId="2" applyNumberFormat="1" applyFont="1" applyBorder="1"/>
    <xf numFmtId="0" fontId="5" fillId="0" borderId="72" xfId="0" applyFont="1" applyBorder="1"/>
    <xf numFmtId="0" fontId="5" fillId="0" borderId="138" xfId="0" applyFont="1" applyBorder="1"/>
    <xf numFmtId="0" fontId="5" fillId="0" borderId="0" xfId="0" applyFont="1" applyAlignment="1">
      <alignment horizontal="left"/>
    </xf>
    <xf numFmtId="0" fontId="5" fillId="0" borderId="142" xfId="0" applyFont="1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5" fillId="0" borderId="137" xfId="0" applyFont="1" applyBorder="1" applyAlignment="1">
      <alignment vertical="center"/>
    </xf>
    <xf numFmtId="0" fontId="6" fillId="0" borderId="56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13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35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10" fontId="5" fillId="0" borderId="105" xfId="0" applyNumberFormat="1" applyFont="1" applyFill="1" applyBorder="1" applyAlignment="1">
      <alignment vertical="center"/>
    </xf>
    <xf numFmtId="10" fontId="5" fillId="0" borderId="94" xfId="0" applyNumberFormat="1" applyFont="1" applyFill="1" applyBorder="1" applyAlignment="1">
      <alignment vertical="center"/>
    </xf>
    <xf numFmtId="6" fontId="5" fillId="0" borderId="94" xfId="0" applyNumberFormat="1" applyFont="1" applyBorder="1" applyAlignment="1">
      <alignment vertical="center"/>
    </xf>
    <xf numFmtId="10" fontId="5" fillId="0" borderId="105" xfId="3" applyNumberFormat="1" applyFont="1" applyBorder="1" applyAlignment="1">
      <alignment vertical="center"/>
    </xf>
    <xf numFmtId="10" fontId="5" fillId="0" borderId="94" xfId="3" applyNumberFormat="1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5" fillId="0" borderId="143" xfId="0" applyFont="1" applyBorder="1" applyAlignment="1">
      <alignment vertical="center"/>
    </xf>
    <xf numFmtId="0" fontId="5" fillId="0" borderId="94" xfId="0" applyFont="1" applyBorder="1" applyAlignment="1">
      <alignment vertical="center"/>
    </xf>
    <xf numFmtId="43" fontId="5" fillId="0" borderId="105" xfId="1" applyFont="1" applyBorder="1" applyAlignment="1">
      <alignment vertical="center"/>
    </xf>
    <xf numFmtId="0" fontId="5" fillId="0" borderId="56" xfId="0" applyFont="1" applyBorder="1" applyAlignment="1">
      <alignment vertical="center"/>
    </xf>
    <xf numFmtId="0" fontId="6" fillId="0" borderId="0" xfId="4" applyFont="1" applyAlignment="1" applyProtection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0" fontId="6" fillId="0" borderId="0" xfId="1965" quotePrefix="1" applyFont="1" applyAlignment="1">
      <alignment horizontal="center"/>
    </xf>
    <xf numFmtId="166" fontId="5" fillId="2" borderId="105" xfId="1" applyNumberFormat="1" applyFont="1" applyFill="1" applyBorder="1" applyAlignment="1">
      <alignment horizontal="right" vertical="center"/>
    </xf>
    <xf numFmtId="0" fontId="8" fillId="0" borderId="0" xfId="4" applyFont="1" applyBorder="1" applyAlignment="1">
      <alignment horizontal="left"/>
    </xf>
    <xf numFmtId="41" fontId="6" fillId="0" borderId="0" xfId="21" applyNumberFormat="1" applyFont="1" applyFill="1" applyBorder="1" applyAlignment="1">
      <alignment horizontal="center"/>
    </xf>
    <xf numFmtId="165" fontId="5" fillId="0" borderId="4" xfId="48" applyNumberFormat="1" applyFont="1" applyFill="1" applyBorder="1" applyAlignment="1">
      <alignment horizontal="right"/>
    </xf>
    <xf numFmtId="166" fontId="5" fillId="0" borderId="4" xfId="1" applyNumberFormat="1" applyFont="1" applyFill="1" applyBorder="1" applyAlignment="1">
      <alignment horizontal="right"/>
    </xf>
    <xf numFmtId="166" fontId="5" fillId="0" borderId="4" xfId="1" applyNumberFormat="1" applyFont="1" applyBorder="1" applyAlignment="1">
      <alignment horizontal="right"/>
    </xf>
    <xf numFmtId="166" fontId="5" fillId="0" borderId="49" xfId="1" applyNumberFormat="1" applyFont="1" applyBorder="1"/>
    <xf numFmtId="166" fontId="5" fillId="0" borderId="105" xfId="1" applyNumberFormat="1" applyFont="1" applyFill="1" applyBorder="1" applyAlignment="1">
      <alignment horizontal="right"/>
    </xf>
    <xf numFmtId="166" fontId="5" fillId="0" borderId="94" xfId="1" applyNumberFormat="1" applyFont="1" applyBorder="1"/>
    <xf numFmtId="0" fontId="9" fillId="0" borderId="0" xfId="2012" applyFont="1" applyBorder="1" applyAlignment="1">
      <alignment horizontal="center"/>
    </xf>
    <xf numFmtId="0" fontId="9" fillId="0" borderId="0" xfId="1965" applyFont="1"/>
    <xf numFmtId="0" fontId="9" fillId="0" borderId="0" xfId="2012" applyFont="1" applyProtection="1"/>
    <xf numFmtId="0" fontId="8" fillId="0" borderId="0" xfId="2012" applyFont="1" applyProtection="1"/>
    <xf numFmtId="5" fontId="158" fillId="0" borderId="0" xfId="0" applyNumberFormat="1" applyFont="1" applyFill="1" applyAlignment="1">
      <alignment horizontal="center"/>
    </xf>
    <xf numFmtId="0" fontId="9" fillId="0" borderId="0" xfId="4" applyFont="1" applyAlignment="1" applyProtection="1">
      <alignment horizontal="left"/>
    </xf>
    <xf numFmtId="0" fontId="6" fillId="0" borderId="148" xfId="3856" applyFont="1" applyBorder="1" applyAlignment="1"/>
    <xf numFmtId="0" fontId="6" fillId="0" borderId="2" xfId="4" applyFont="1" applyBorder="1" applyAlignment="1">
      <alignment horizontal="center" vertical="center"/>
    </xf>
    <xf numFmtId="0" fontId="6" fillId="0" borderId="145" xfId="4" applyFont="1" applyBorder="1" applyAlignment="1">
      <alignment horizontal="center" vertical="center"/>
    </xf>
    <xf numFmtId="0" fontId="6" fillId="0" borderId="94" xfId="4" applyFont="1" applyFill="1" applyBorder="1" applyAlignment="1">
      <alignment horizontal="center" vertical="center"/>
    </xf>
    <xf numFmtId="17" fontId="5" fillId="0" borderId="123" xfId="4" applyNumberFormat="1" applyFont="1" applyBorder="1" applyAlignment="1">
      <alignment horizontal="left" vertical="center"/>
    </xf>
    <xf numFmtId="165" fontId="5" fillId="0" borderId="123" xfId="2" applyNumberFormat="1" applyFont="1" applyFill="1" applyBorder="1" applyAlignment="1">
      <alignment vertical="center"/>
    </xf>
    <xf numFmtId="165" fontId="5" fillId="0" borderId="123" xfId="2" applyNumberFormat="1" applyFont="1" applyBorder="1" applyAlignment="1">
      <alignment vertical="center"/>
    </xf>
    <xf numFmtId="165" fontId="5" fillId="0" borderId="123" xfId="21" applyNumberFormat="1" applyFont="1" applyFill="1" applyBorder="1" applyAlignment="1">
      <alignment horizontal="center" vertical="center"/>
    </xf>
    <xf numFmtId="0" fontId="5" fillId="0" borderId="105" xfId="4" applyFont="1" applyBorder="1" applyAlignment="1">
      <alignment vertical="center"/>
    </xf>
    <xf numFmtId="0" fontId="163" fillId="0" borderId="0" xfId="0" applyFont="1" applyAlignment="1">
      <alignment vertical="center"/>
    </xf>
    <xf numFmtId="168" fontId="5" fillId="0" borderId="0" xfId="4" applyNumberFormat="1" applyFont="1" applyAlignment="1">
      <alignment vertical="center" wrapText="1"/>
    </xf>
    <xf numFmtId="0" fontId="162" fillId="0" borderId="9" xfId="1604" applyFont="1" applyFill="1" applyBorder="1" applyAlignment="1">
      <alignment horizontal="center"/>
    </xf>
    <xf numFmtId="0" fontId="9" fillId="0" borderId="0" xfId="0" applyFont="1"/>
    <xf numFmtId="0" fontId="164" fillId="0" borderId="0" xfId="4" applyFont="1" applyAlignment="1">
      <alignment vertical="center"/>
    </xf>
    <xf numFmtId="0" fontId="5" fillId="0" borderId="0" xfId="6107" applyFont="1" applyAlignment="1">
      <alignment vertical="center"/>
    </xf>
    <xf numFmtId="0" fontId="9" fillId="0" borderId="0" xfId="2012" applyFont="1" applyFill="1"/>
    <xf numFmtId="165" fontId="8" fillId="0" borderId="0" xfId="48" applyNumberFormat="1" applyFont="1"/>
    <xf numFmtId="0" fontId="9" fillId="0" borderId="0" xfId="2012" applyFont="1" applyFill="1" applyBorder="1" applyAlignment="1">
      <alignment horizontal="center"/>
    </xf>
    <xf numFmtId="0" fontId="8" fillId="0" borderId="0" xfId="2012" applyFont="1" applyBorder="1"/>
    <xf numFmtId="166" fontId="165" fillId="0" borderId="0" xfId="22" applyNumberFormat="1" applyFont="1" applyBorder="1" applyAlignment="1">
      <alignment vertical="center"/>
    </xf>
    <xf numFmtId="166" fontId="165" fillId="0" borderId="0" xfId="22" applyNumberFormat="1" applyFont="1" applyBorder="1"/>
    <xf numFmtId="165" fontId="9" fillId="0" borderId="0" xfId="48" applyNumberFormat="1" applyFont="1" applyAlignment="1">
      <alignment vertical="center"/>
    </xf>
    <xf numFmtId="10" fontId="161" fillId="0" borderId="0" xfId="61" applyNumberFormat="1" applyFont="1" applyBorder="1" applyAlignment="1" applyProtection="1">
      <alignment vertical="center"/>
    </xf>
    <xf numFmtId="10" fontId="161" fillId="0" borderId="0" xfId="61" applyNumberFormat="1" applyFont="1" applyBorder="1" applyProtection="1"/>
    <xf numFmtId="165" fontId="9" fillId="0" borderId="0" xfId="48" applyNumberFormat="1" applyFont="1" applyBorder="1" applyAlignment="1">
      <alignment horizontal="right" vertical="center"/>
    </xf>
    <xf numFmtId="165" fontId="8" fillId="0" borderId="0" xfId="48" applyNumberFormat="1" applyFont="1" applyBorder="1" applyAlignment="1">
      <alignment horizontal="right"/>
    </xf>
    <xf numFmtId="10" fontId="8" fillId="0" borderId="0" xfId="1043" applyNumberFormat="1" applyFont="1" applyBorder="1" applyAlignment="1">
      <alignment horizontal="right"/>
    </xf>
    <xf numFmtId="10" fontId="5" fillId="2" borderId="0" xfId="2012" applyNumberFormat="1" applyFont="1" applyFill="1" applyAlignment="1">
      <alignment vertical="center"/>
    </xf>
    <xf numFmtId="0" fontId="5" fillId="0" borderId="0" xfId="6107" applyFont="1" applyAlignment="1">
      <alignment vertical="top"/>
    </xf>
    <xf numFmtId="167" fontId="5" fillId="0" borderId="0" xfId="2012" applyNumberFormat="1" applyFont="1" applyFill="1" applyBorder="1" applyAlignment="1">
      <alignment horizontal="right"/>
    </xf>
    <xf numFmtId="165" fontId="5" fillId="0" borderId="0" xfId="2039" applyNumberFormat="1" applyFont="1" applyBorder="1" applyAlignment="1">
      <alignment horizontal="right" vertical="center"/>
    </xf>
    <xf numFmtId="43" fontId="6" fillId="0" borderId="0" xfId="6107" applyNumberFormat="1" applyFont="1" applyAlignment="1">
      <alignment vertical="center"/>
    </xf>
    <xf numFmtId="1" fontId="6" fillId="0" borderId="0" xfId="6107" applyNumberFormat="1" applyFont="1" applyAlignment="1">
      <alignment vertical="center"/>
    </xf>
    <xf numFmtId="0" fontId="5" fillId="0" borderId="0" xfId="6107" applyFont="1" applyFill="1" applyAlignment="1">
      <alignment horizontal="center" vertical="top" wrapText="1"/>
    </xf>
    <xf numFmtId="165" fontId="5" fillId="0" borderId="94" xfId="4" applyNumberFormat="1" applyFont="1" applyBorder="1" applyAlignment="1">
      <alignment horizontal="right" vertical="center"/>
    </xf>
    <xf numFmtId="165" fontId="5" fillId="0" borderId="94" xfId="4" applyNumberFormat="1" applyFont="1" applyBorder="1" applyAlignment="1">
      <alignment vertical="center"/>
    </xf>
    <xf numFmtId="0" fontId="6" fillId="0" borderId="109" xfId="4" applyFont="1" applyBorder="1" applyAlignment="1">
      <alignment horizontal="center"/>
    </xf>
    <xf numFmtId="0" fontId="6" fillId="0" borderId="5" xfId="4" applyFont="1" applyBorder="1" applyAlignment="1">
      <alignment horizontal="center"/>
    </xf>
    <xf numFmtId="0" fontId="5" fillId="0" borderId="0" xfId="4" applyFont="1" applyBorder="1" applyAlignment="1">
      <alignment horizontal="left"/>
    </xf>
    <xf numFmtId="0" fontId="6" fillId="0" borderId="4" xfId="4" applyFont="1" applyBorder="1" applyAlignment="1">
      <alignment horizontal="left" indent="2"/>
    </xf>
    <xf numFmtId="166" fontId="5" fillId="3" borderId="94" xfId="1" applyNumberFormat="1" applyFont="1" applyFill="1" applyBorder="1" applyAlignment="1">
      <alignment vertical="center"/>
    </xf>
    <xf numFmtId="166" fontId="5" fillId="2" borderId="90" xfId="1" applyNumberFormat="1" applyFont="1" applyFill="1" applyBorder="1" applyAlignment="1">
      <alignment horizontal="right" vertical="center"/>
    </xf>
    <xf numFmtId="166" fontId="5" fillId="0" borderId="94" xfId="1" applyNumberFormat="1" applyFont="1" applyFill="1" applyBorder="1" applyAlignment="1">
      <alignment horizontal="right" vertical="center"/>
    </xf>
    <xf numFmtId="167" fontId="5" fillId="2" borderId="147" xfId="1043" applyNumberFormat="1" applyFont="1" applyFill="1" applyBorder="1" applyAlignment="1">
      <alignment horizontal="right" vertical="center"/>
    </xf>
    <xf numFmtId="165" fontId="5" fillId="0" borderId="1" xfId="1965" applyNumberFormat="1" applyFont="1" applyFill="1" applyBorder="1" applyAlignment="1">
      <alignment horizontal="right" vertical="center"/>
    </xf>
    <xf numFmtId="0" fontId="5" fillId="0" borderId="0" xfId="2012" applyFont="1" applyAlignment="1" applyProtection="1"/>
    <xf numFmtId="0" fontId="8" fillId="0" borderId="0" xfId="2012" applyFont="1" applyBorder="1" applyAlignment="1">
      <alignment vertical="center"/>
    </xf>
    <xf numFmtId="0" fontId="13" fillId="0" borderId="0" xfId="6107" applyFont="1"/>
    <xf numFmtId="41" fontId="6" fillId="0" borderId="0" xfId="21" applyNumberFormat="1" applyFont="1" applyBorder="1" applyAlignment="1">
      <alignment horizontal="left"/>
    </xf>
    <xf numFmtId="0" fontId="6" fillId="0" borderId="0" xfId="0" applyFont="1" applyAlignment="1" applyProtection="1">
      <alignment horizontal="center" vertical="center"/>
    </xf>
    <xf numFmtId="0" fontId="6" fillId="0" borderId="0" xfId="0" quotePrefix="1" applyFont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quotePrefix="1" applyFont="1" applyFill="1" applyAlignment="1" applyProtection="1">
      <alignment horizontal="center" vertical="center"/>
    </xf>
    <xf numFmtId="0" fontId="5" fillId="0" borderId="147" xfId="0" applyFont="1" applyBorder="1" applyAlignment="1">
      <alignment horizontal="center" vertical="center"/>
    </xf>
    <xf numFmtId="0" fontId="6" fillId="0" borderId="147" xfId="0" applyFont="1" applyBorder="1" applyAlignment="1">
      <alignment horizontal="center" vertical="center"/>
    </xf>
    <xf numFmtId="164" fontId="6" fillId="0" borderId="147" xfId="0" applyNumberFormat="1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216" fontId="5" fillId="0" borderId="0" xfId="2" applyNumberFormat="1" applyFont="1" applyFill="1" applyAlignment="1">
      <alignment vertical="center"/>
    </xf>
    <xf numFmtId="165" fontId="6" fillId="0" borderId="146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horizontal="center" vertical="center"/>
    </xf>
    <xf numFmtId="41" fontId="5" fillId="0" borderId="0" xfId="38096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quotePrefix="1" applyFont="1" applyAlignment="1" applyProtection="1">
      <alignment horizontal="centerContinuous" vertical="center"/>
    </xf>
    <xf numFmtId="0" fontId="5" fillId="0" borderId="147" xfId="0" applyFont="1" applyBorder="1" applyAlignment="1" applyProtection="1">
      <alignment horizontal="center" vertical="center"/>
    </xf>
    <xf numFmtId="165" fontId="5" fillId="3" borderId="1" xfId="21" applyNumberFormat="1" applyFont="1" applyFill="1" applyBorder="1" applyAlignment="1">
      <alignment vertical="center"/>
    </xf>
    <xf numFmtId="43" fontId="5" fillId="2" borderId="0" xfId="2408" applyFont="1" applyFill="1" applyBorder="1" applyAlignment="1" applyProtection="1">
      <alignment horizontal="center" vertical="center"/>
    </xf>
    <xf numFmtId="166" fontId="6" fillId="2" borderId="81" xfId="2408" applyNumberFormat="1" applyFont="1" applyFill="1" applyBorder="1" applyAlignment="1" applyProtection="1">
      <alignment horizontal="center" vertical="center"/>
    </xf>
    <xf numFmtId="165" fontId="5" fillId="3" borderId="0" xfId="2039" applyNumberFormat="1" applyFont="1" applyFill="1" applyAlignment="1">
      <alignment vertical="center"/>
    </xf>
    <xf numFmtId="181" fontId="5" fillId="0" borderId="4" xfId="48" applyNumberFormat="1" applyFont="1" applyFill="1" applyBorder="1" applyAlignment="1">
      <alignment horizontal="right"/>
    </xf>
    <xf numFmtId="170" fontId="5" fillId="0" borderId="4" xfId="1" applyNumberFormat="1" applyFont="1" applyFill="1" applyBorder="1" applyAlignment="1">
      <alignment horizontal="right"/>
    </xf>
    <xf numFmtId="170" fontId="5" fillId="0" borderId="90" xfId="1" applyNumberFormat="1" applyFont="1" applyFill="1" applyBorder="1" applyAlignment="1">
      <alignment horizontal="right"/>
    </xf>
    <xf numFmtId="170" fontId="5" fillId="0" borderId="105" xfId="1" applyNumberFormat="1" applyFont="1" applyFill="1" applyBorder="1" applyAlignment="1">
      <alignment horizontal="right"/>
    </xf>
    <xf numFmtId="0" fontId="5" fillId="0" borderId="0" xfId="4" applyFont="1" applyAlignment="1">
      <alignment horizontal="center" vertical="center"/>
    </xf>
    <xf numFmtId="0" fontId="5" fillId="0" borderId="4" xfId="4" applyFont="1" applyBorder="1" applyAlignment="1">
      <alignment horizontal="left"/>
    </xf>
    <xf numFmtId="0" fontId="5" fillId="0" borderId="4" xfId="4" applyFont="1" applyFill="1" applyBorder="1" applyAlignment="1">
      <alignment horizontal="left"/>
    </xf>
    <xf numFmtId="41" fontId="5" fillId="0" borderId="93" xfId="21" applyNumberFormat="1" applyFont="1" applyBorder="1" applyAlignment="1">
      <alignment horizontal="center"/>
    </xf>
    <xf numFmtId="181" fontId="6" fillId="0" borderId="52" xfId="2" applyNumberFormat="1" applyFont="1" applyFill="1" applyBorder="1"/>
    <xf numFmtId="165" fontId="5" fillId="2" borderId="126" xfId="21" applyNumberFormat="1" applyFont="1" applyFill="1" applyBorder="1" applyAlignment="1" applyProtection="1">
      <alignment vertical="center"/>
      <protection locked="0"/>
    </xf>
    <xf numFmtId="167" fontId="5" fillId="0" borderId="147" xfId="3" applyNumberFormat="1" applyFont="1" applyFill="1" applyBorder="1" applyAlignment="1">
      <alignment vertical="center"/>
    </xf>
    <xf numFmtId="166" fontId="5" fillId="2" borderId="57" xfId="1" applyNumberFormat="1" applyFont="1" applyFill="1" applyBorder="1" applyAlignment="1">
      <alignment horizontal="center" vertical="center"/>
    </xf>
    <xf numFmtId="165" fontId="5" fillId="0" borderId="0" xfId="48" applyNumberFormat="1" applyFont="1" applyAlignment="1">
      <alignment vertical="center"/>
    </xf>
    <xf numFmtId="0" fontId="5" fillId="0" borderId="0" xfId="2012" applyFont="1" applyFill="1"/>
    <xf numFmtId="165" fontId="5" fillId="0" borderId="0" xfId="48" applyNumberFormat="1" applyFont="1" applyBorder="1" applyAlignment="1">
      <alignment horizontal="right" vertical="center"/>
    </xf>
    <xf numFmtId="10" fontId="5" fillId="0" borderId="1" xfId="1043" applyNumberFormat="1" applyFont="1" applyBorder="1" applyAlignment="1">
      <alignment horizontal="right" vertical="center"/>
    </xf>
    <xf numFmtId="166" fontId="5" fillId="3" borderId="0" xfId="1" applyNumberFormat="1" applyFont="1" applyFill="1" applyAlignment="1">
      <alignment vertical="center"/>
    </xf>
    <xf numFmtId="166" fontId="5" fillId="3" borderId="44" xfId="1" applyNumberFormat="1" applyFont="1" applyFill="1" applyBorder="1" applyAlignment="1">
      <alignment vertical="center"/>
    </xf>
    <xf numFmtId="166" fontId="5" fillId="0" borderId="139" xfId="1" applyNumberFormat="1" applyFont="1" applyFill="1" applyBorder="1" applyAlignment="1">
      <alignment vertical="center"/>
    </xf>
    <xf numFmtId="10" fontId="5" fillId="2" borderId="147" xfId="4" applyNumberFormat="1" applyFont="1" applyFill="1" applyBorder="1" applyAlignment="1">
      <alignment vertical="center"/>
    </xf>
    <xf numFmtId="165" fontId="5" fillId="0" borderId="1" xfId="2069" applyNumberFormat="1" applyFont="1" applyBorder="1" applyProtection="1">
      <protection locked="0"/>
    </xf>
    <xf numFmtId="166" fontId="5" fillId="3" borderId="90" xfId="1" applyNumberFormat="1" applyFont="1" applyFill="1" applyBorder="1" applyAlignment="1">
      <alignment vertical="center"/>
    </xf>
    <xf numFmtId="165" fontId="5" fillId="2" borderId="94" xfId="48" applyNumberFormat="1" applyFont="1" applyFill="1" applyBorder="1" applyAlignment="1">
      <alignment horizontal="right" vertical="center"/>
    </xf>
    <xf numFmtId="43" fontId="5" fillId="2" borderId="90" xfId="1" applyFont="1" applyFill="1" applyBorder="1" applyAlignment="1">
      <alignment horizontal="right" vertical="center"/>
    </xf>
    <xf numFmtId="0" fontId="6" fillId="0" borderId="0" xfId="4" applyFont="1" applyAlignment="1">
      <alignment horizont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quotePrefix="1" applyFont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4" applyFont="1" applyAlignment="1">
      <alignment horizontal="center" vertical="center"/>
    </xf>
    <xf numFmtId="0" fontId="6" fillId="0" borderId="0" xfId="4" applyFont="1" applyFill="1" applyAlignment="1">
      <alignment horizontal="center"/>
    </xf>
    <xf numFmtId="0" fontId="6" fillId="0" borderId="0" xfId="4" applyFont="1" applyAlignment="1"/>
    <xf numFmtId="0" fontId="6" fillId="0" borderId="0" xfId="4" quotePrefix="1" applyFont="1" applyFill="1" applyAlignment="1">
      <alignment horizontal="center"/>
    </xf>
    <xf numFmtId="0" fontId="5" fillId="0" borderId="0" xfId="0" applyFont="1" applyAlignment="1">
      <alignment vertical="center"/>
    </xf>
    <xf numFmtId="165" fontId="5" fillId="3" borderId="0" xfId="2" applyNumberFormat="1" applyFont="1" applyFill="1" applyBorder="1" applyAlignment="1">
      <alignment horizontal="right" vertical="center"/>
    </xf>
    <xf numFmtId="0" fontId="5" fillId="0" borderId="0" xfId="4" applyFont="1" applyFill="1" applyBorder="1" applyAlignment="1">
      <alignment horizontal="left"/>
    </xf>
    <xf numFmtId="0" fontId="6" fillId="0" borderId="149" xfId="4" applyFont="1" applyBorder="1" applyAlignment="1">
      <alignment vertical="center"/>
    </xf>
    <xf numFmtId="0" fontId="6" fillId="0" borderId="150" xfId="4" quotePrefix="1" applyFont="1" applyBorder="1" applyAlignment="1">
      <alignment horizontal="center" vertical="center"/>
    </xf>
    <xf numFmtId="0" fontId="6" fillId="0" borderId="149" xfId="4" quotePrefix="1" applyFont="1" applyBorder="1" applyAlignment="1">
      <alignment horizontal="center" vertical="center"/>
    </xf>
    <xf numFmtId="0" fontId="6" fillId="0" borderId="90" xfId="4" applyFont="1" applyBorder="1" applyAlignment="1">
      <alignment horizontal="center" vertical="center"/>
    </xf>
    <xf numFmtId="0" fontId="6" fillId="0" borderId="147" xfId="4" applyFont="1" applyBorder="1" applyAlignment="1">
      <alignment horizontal="center" vertical="center"/>
    </xf>
    <xf numFmtId="0" fontId="6" fillId="0" borderId="90" xfId="4" applyNumberFormat="1" applyFont="1" applyBorder="1" applyAlignment="1">
      <alignment horizontal="center" vertical="center"/>
    </xf>
    <xf numFmtId="165" fontId="5" fillId="0" borderId="4" xfId="2" applyNumberFormat="1" applyFont="1" applyBorder="1" applyAlignment="1">
      <alignment horizontal="center" vertical="center"/>
    </xf>
    <xf numFmtId="166" fontId="5" fillId="0" borderId="4" xfId="1" applyNumberFormat="1" applyFont="1" applyBorder="1" applyAlignment="1">
      <alignment horizontal="center" vertical="center"/>
    </xf>
    <xf numFmtId="17" fontId="5" fillId="0" borderId="90" xfId="4" applyNumberFormat="1" applyFont="1" applyBorder="1" applyAlignment="1">
      <alignment horizontal="left" vertical="center"/>
    </xf>
    <xf numFmtId="166" fontId="5" fillId="0" borderId="90" xfId="1" applyNumberFormat="1" applyFont="1" applyBorder="1" applyAlignment="1">
      <alignment vertical="center"/>
    </xf>
    <xf numFmtId="0" fontId="5" fillId="0" borderId="90" xfId="4" applyNumberFormat="1" applyFont="1" applyFill="1" applyBorder="1" applyAlignment="1">
      <alignment horizontal="centerContinuous" vertical="center"/>
    </xf>
    <xf numFmtId="166" fontId="5" fillId="0" borderId="90" xfId="1" applyNumberFormat="1" applyFont="1" applyBorder="1" applyAlignment="1">
      <alignment horizontal="center" vertical="center"/>
    </xf>
    <xf numFmtId="166" fontId="6" fillId="0" borderId="150" xfId="4" applyNumberFormat="1" applyFont="1" applyBorder="1" applyAlignment="1">
      <alignment vertical="center"/>
    </xf>
    <xf numFmtId="168" fontId="6" fillId="0" borderId="149" xfId="4" applyNumberFormat="1" applyFont="1" applyFill="1" applyBorder="1" applyAlignment="1">
      <alignment vertical="center"/>
    </xf>
    <xf numFmtId="0" fontId="6" fillId="0" borderId="90" xfId="4" applyFont="1" applyBorder="1" applyAlignment="1">
      <alignment vertical="center"/>
    </xf>
    <xf numFmtId="166" fontId="5" fillId="0" borderId="90" xfId="4" applyNumberFormat="1" applyFont="1" applyFill="1" applyBorder="1" applyAlignment="1">
      <alignment vertical="center"/>
    </xf>
    <xf numFmtId="168" fontId="5" fillId="0" borderId="90" xfId="4" applyNumberFormat="1" applyFont="1" applyFill="1" applyBorder="1" applyAlignment="1">
      <alignment vertical="center"/>
    </xf>
    <xf numFmtId="168" fontId="5" fillId="0" borderId="94" xfId="4" applyNumberFormat="1" applyFont="1" applyFill="1" applyBorder="1" applyAlignment="1">
      <alignment vertical="center"/>
    </xf>
    <xf numFmtId="166" fontId="5" fillId="0" borderId="90" xfId="4" applyNumberFormat="1" applyFont="1" applyBorder="1" applyAlignment="1">
      <alignment vertical="center"/>
    </xf>
    <xf numFmtId="168" fontId="5" fillId="0" borderId="0" xfId="4" applyNumberFormat="1" applyFont="1" applyAlignment="1">
      <alignment horizontal="center" vertical="center"/>
    </xf>
    <xf numFmtId="165" fontId="5" fillId="3" borderId="1" xfId="2" applyNumberFormat="1" applyFont="1" applyFill="1" applyBorder="1" applyAlignment="1" applyProtection="1">
      <alignment vertical="center"/>
      <protection locked="0"/>
    </xf>
    <xf numFmtId="166" fontId="6" fillId="0" borderId="0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>
      <alignment vertical="center"/>
    </xf>
    <xf numFmtId="165" fontId="5" fillId="0" borderId="94" xfId="37039" applyNumberFormat="1" applyFont="1" applyFill="1" applyBorder="1" applyAlignment="1">
      <alignment vertical="center"/>
    </xf>
    <xf numFmtId="166" fontId="5" fillId="0" borderId="94" xfId="1442" applyNumberFormat="1" applyFont="1" applyFill="1" applyBorder="1" applyAlignment="1">
      <alignment vertical="center"/>
    </xf>
    <xf numFmtId="41" fontId="5" fillId="0" borderId="94" xfId="3857" applyFont="1" applyFill="1" applyBorder="1" applyAlignment="1">
      <alignment vertical="center"/>
    </xf>
    <xf numFmtId="166" fontId="5" fillId="0" borderId="90" xfId="37038" applyNumberFormat="1" applyFont="1" applyFill="1" applyBorder="1" applyAlignment="1">
      <alignment vertical="center"/>
    </xf>
    <xf numFmtId="14" fontId="6" fillId="0" borderId="86" xfId="3856" applyNumberFormat="1" applyFont="1" applyFill="1" applyBorder="1" applyAlignment="1">
      <alignment horizontal="center"/>
    </xf>
    <xf numFmtId="0" fontId="6" fillId="0" borderId="11" xfId="0" applyFont="1" applyBorder="1" applyAlignment="1">
      <alignment horizontal="left" vertical="center"/>
    </xf>
    <xf numFmtId="165" fontId="6" fillId="0" borderId="11" xfId="2" applyNumberFormat="1" applyFont="1" applyBorder="1" applyAlignment="1">
      <alignment vertical="center"/>
    </xf>
    <xf numFmtId="165" fontId="5" fillId="0" borderId="11" xfId="2" applyNumberFormat="1" applyFont="1" applyBorder="1" applyAlignment="1">
      <alignment horizontal="center" vertical="center"/>
    </xf>
    <xf numFmtId="0" fontId="10" fillId="0" borderId="0" xfId="4" applyFont="1" applyFill="1" applyBorder="1" applyAlignment="1">
      <alignment horizontal="left"/>
    </xf>
    <xf numFmtId="0" fontId="10" fillId="0" borderId="0" xfId="4" applyFont="1" applyFill="1" applyAlignment="1">
      <alignment horizontal="left"/>
    </xf>
    <xf numFmtId="165" fontId="5" fillId="0" borderId="1" xfId="21" applyNumberFormat="1" applyFont="1" applyFill="1" applyBorder="1" applyAlignment="1" applyProtection="1">
      <alignment horizontal="right" vertical="center"/>
    </xf>
    <xf numFmtId="165" fontId="5" fillId="0" borderId="0" xfId="21" applyNumberFormat="1" applyFont="1" applyFill="1" applyBorder="1" applyAlignment="1" applyProtection="1">
      <alignment horizontal="right"/>
    </xf>
    <xf numFmtId="165" fontId="6" fillId="0" borderId="151" xfId="21" applyNumberFormat="1" applyFont="1" applyFill="1" applyBorder="1" applyAlignment="1" applyProtection="1">
      <alignment horizontal="right" vertical="center"/>
    </xf>
    <xf numFmtId="165" fontId="5" fillId="111" borderId="0" xfId="21" applyNumberFormat="1" applyFont="1" applyFill="1" applyBorder="1" applyAlignment="1" applyProtection="1">
      <alignment horizontal="right" vertical="center"/>
    </xf>
    <xf numFmtId="165" fontId="5" fillId="111" borderId="1" xfId="21" applyNumberFormat="1" applyFont="1" applyFill="1" applyBorder="1" applyAlignment="1" applyProtection="1">
      <alignment horizontal="right" vertical="center"/>
    </xf>
    <xf numFmtId="165" fontId="5" fillId="0" borderId="0" xfId="21" applyNumberFormat="1" applyFont="1" applyFill="1" applyBorder="1" applyAlignment="1">
      <alignment vertical="center"/>
    </xf>
    <xf numFmtId="0" fontId="10" fillId="0" borderId="11" xfId="0" applyFont="1" applyBorder="1" applyAlignment="1" applyProtection="1">
      <alignment vertical="center"/>
    </xf>
    <xf numFmtId="176" fontId="5" fillId="0" borderId="11" xfId="3" applyNumberFormat="1" applyFont="1" applyBorder="1" applyAlignment="1">
      <alignment horizontal="right" vertical="center"/>
    </xf>
    <xf numFmtId="0" fontId="5" fillId="0" borderId="147" xfId="0" applyFont="1" applyFill="1" applyBorder="1" applyAlignment="1">
      <alignment horizontal="center" vertical="center"/>
    </xf>
    <xf numFmtId="165" fontId="5" fillId="0" borderId="146" xfId="0" applyNumberFormat="1" applyFont="1" applyBorder="1" applyAlignment="1">
      <alignment vertical="center"/>
    </xf>
    <xf numFmtId="10" fontId="5" fillId="0" borderId="147" xfId="3" applyNumberFormat="1" applyFont="1" applyBorder="1" applyAlignment="1">
      <alignment horizontal="right" vertical="center"/>
    </xf>
    <xf numFmtId="0" fontId="5" fillId="0" borderId="0" xfId="0" applyFont="1" applyFill="1" applyProtection="1"/>
    <xf numFmtId="0" fontId="5" fillId="0" borderId="147" xfId="0" applyFont="1" applyBorder="1" applyAlignment="1">
      <alignment horizontal="center" vertical="center" wrapText="1"/>
    </xf>
    <xf numFmtId="165" fontId="5" fillId="111" borderId="0" xfId="2" applyNumberFormat="1" applyFont="1" applyFill="1" applyAlignment="1">
      <alignment horizontal="right" vertical="center"/>
    </xf>
    <xf numFmtId="9" fontId="5" fillId="2" borderId="147" xfId="3" applyFont="1" applyFill="1" applyBorder="1" applyAlignment="1">
      <alignment horizontal="right" vertical="center"/>
    </xf>
    <xf numFmtId="10" fontId="5" fillId="0" borderId="0" xfId="3" applyNumberFormat="1" applyFont="1" applyFill="1" applyBorder="1" applyAlignment="1">
      <alignment horizontal="right" vertical="center"/>
    </xf>
    <xf numFmtId="10" fontId="5" fillId="2" borderId="147" xfId="3" applyNumberFormat="1" applyFont="1" applyFill="1" applyBorder="1" applyAlignment="1">
      <alignment horizontal="right" vertical="center"/>
    </xf>
    <xf numFmtId="167" fontId="5" fillId="0" borderId="147" xfId="3" applyNumberFormat="1" applyFont="1" applyBorder="1" applyAlignment="1">
      <alignment horizontal="right" vertical="center"/>
    </xf>
    <xf numFmtId="167" fontId="5" fillId="2" borderId="147" xfId="0" applyNumberFormat="1" applyFont="1" applyFill="1" applyBorder="1" applyAlignment="1">
      <alignment horizontal="right" vertical="center"/>
    </xf>
    <xf numFmtId="167" fontId="5" fillId="0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0" fontId="5" fillId="0" borderId="0" xfId="0" applyFont="1" applyAlignment="1">
      <alignment vertical="center"/>
    </xf>
    <xf numFmtId="165" fontId="5" fillId="2" borderId="147" xfId="2" applyNumberFormat="1" applyFont="1" applyFill="1" applyBorder="1" applyAlignment="1">
      <alignment horizontal="right" vertical="center"/>
    </xf>
    <xf numFmtId="165" fontId="5" fillId="111" borderId="1" xfId="2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Border="1" applyAlignment="1">
      <alignment vertical="center"/>
    </xf>
    <xf numFmtId="166" fontId="5" fillId="3" borderId="0" xfId="2408" applyNumberFormat="1" applyFont="1" applyFill="1" applyAlignment="1">
      <alignment vertical="center"/>
    </xf>
    <xf numFmtId="10" fontId="5" fillId="0" borderId="0" xfId="4" applyNumberFormat="1" applyFont="1" applyAlignment="1" applyProtection="1">
      <alignment vertical="center"/>
      <protection locked="0"/>
    </xf>
    <xf numFmtId="10" fontId="5" fillId="2" borderId="147" xfId="4" applyNumberFormat="1" applyFont="1" applyFill="1" applyBorder="1" applyAlignment="1" applyProtection="1">
      <alignment horizontal="right" vertical="center"/>
      <protection locked="0"/>
    </xf>
    <xf numFmtId="10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Fill="1" applyBorder="1" applyAlignment="1" applyProtection="1">
      <alignment horizontal="right" vertical="center"/>
      <protection locked="0"/>
    </xf>
    <xf numFmtId="10" fontId="5" fillId="0" borderId="0" xfId="4" applyNumberFormat="1" applyFont="1" applyBorder="1" applyAlignment="1" applyProtection="1">
      <alignment horizontal="right" vertical="center"/>
      <protection locked="0"/>
    </xf>
    <xf numFmtId="166" fontId="5" fillId="0" borderId="147" xfId="2408" applyNumberFormat="1" applyFont="1" applyFill="1" applyBorder="1" applyAlignment="1" applyProtection="1">
      <alignment vertical="center"/>
      <protection locked="0"/>
    </xf>
    <xf numFmtId="165" fontId="5" fillId="0" borderId="1" xfId="21" applyNumberFormat="1" applyFont="1" applyFill="1" applyBorder="1" applyAlignment="1" applyProtection="1">
      <alignment horizontal="right" vertical="center"/>
      <protection locked="0"/>
    </xf>
    <xf numFmtId="165" fontId="5" fillId="111" borderId="0" xfId="21" applyNumberFormat="1" applyFont="1" applyFill="1" applyBorder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vertical="center"/>
      <protection locked="0"/>
    </xf>
    <xf numFmtId="10" fontId="5" fillId="111" borderId="1" xfId="3" applyNumberFormat="1" applyFont="1" applyFill="1" applyBorder="1" applyAlignment="1">
      <alignment vertical="center"/>
    </xf>
    <xf numFmtId="165" fontId="5" fillId="111" borderId="0" xfId="2" applyNumberFormat="1" applyFont="1" applyFill="1" applyAlignment="1">
      <alignment vertical="center"/>
    </xf>
    <xf numFmtId="166" fontId="5" fillId="111" borderId="0" xfId="1" applyNumberFormat="1" applyFont="1" applyFill="1" applyAlignment="1">
      <alignment vertical="center"/>
    </xf>
    <xf numFmtId="10" fontId="5" fillId="111" borderId="0" xfId="3" applyNumberFormat="1" applyFont="1" applyFill="1" applyAlignment="1">
      <alignment horizontal="right" vertical="center"/>
    </xf>
    <xf numFmtId="10" fontId="5" fillId="111" borderId="147" xfId="3" applyNumberFormat="1" applyFont="1" applyFill="1" applyBorder="1" applyAlignment="1">
      <alignment horizontal="right" vertical="center"/>
    </xf>
    <xf numFmtId="10" fontId="5" fillId="111" borderId="0" xfId="0" applyNumberFormat="1" applyFont="1" applyFill="1" applyAlignment="1">
      <alignment horizontal="right" vertical="center"/>
    </xf>
    <xf numFmtId="10" fontId="5" fillId="111" borderId="0" xfId="0" applyNumberFormat="1" applyFont="1" applyFill="1" applyBorder="1" applyAlignment="1">
      <alignment vertical="center"/>
    </xf>
    <xf numFmtId="165" fontId="5" fillId="111" borderId="0" xfId="2" applyNumberFormat="1" applyFont="1" applyFill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horizontal="right" vertical="center"/>
    </xf>
    <xf numFmtId="166" fontId="5" fillId="111" borderId="147" xfId="2408" applyNumberFormat="1" applyFont="1" applyFill="1" applyBorder="1" applyAlignment="1" applyProtection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4" applyFont="1" applyAlignment="1">
      <alignment horizontal="center" vertical="center"/>
    </xf>
    <xf numFmtId="166" fontId="5" fillId="3" borderId="147" xfId="1" applyNumberFormat="1" applyFont="1" applyFill="1" applyBorder="1" applyAlignment="1">
      <alignment vertical="center"/>
    </xf>
    <xf numFmtId="0" fontId="6" fillId="0" borderId="0" xfId="4" applyFont="1" applyAlignment="1">
      <alignment horizontal="center"/>
    </xf>
    <xf numFmtId="0" fontId="5" fillId="0" borderId="0" xfId="0" applyFont="1" applyAlignment="1">
      <alignment vertical="center"/>
    </xf>
    <xf numFmtId="0" fontId="29" fillId="0" borderId="0" xfId="0" applyFont="1" applyAlignment="1">
      <alignment horizontal="center" vertical="center"/>
    </xf>
    <xf numFmtId="166" fontId="27" fillId="0" borderId="0" xfId="1" applyNumberFormat="1" applyFont="1" applyFill="1" applyBorder="1" applyAlignment="1">
      <alignment horizontal="right" vertical="center"/>
    </xf>
    <xf numFmtId="166" fontId="27" fillId="0" borderId="0" xfId="1" applyNumberFormat="1" applyFont="1" applyFill="1" applyBorder="1" applyAlignment="1">
      <alignment vertical="center"/>
    </xf>
    <xf numFmtId="166" fontId="5" fillId="0" borderId="0" xfId="1" quotePrefix="1" applyNumberFormat="1" applyFont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5" fillId="0" borderId="0" xfId="0" applyFont="1" applyAlignment="1">
      <alignment vertical="center"/>
    </xf>
    <xf numFmtId="165" fontId="5" fillId="0" borderId="94" xfId="2" applyNumberFormat="1" applyFont="1" applyFill="1" applyBorder="1" applyAlignment="1">
      <alignment horizontal="right" vertical="center"/>
    </xf>
    <xf numFmtId="181" fontId="5" fillId="0" borderId="4" xfId="2" applyNumberFormat="1" applyFont="1" applyFill="1" applyBorder="1" applyAlignment="1">
      <alignment horizontal="right"/>
    </xf>
    <xf numFmtId="165" fontId="5" fillId="2" borderId="0" xfId="2039" applyNumberFormat="1" applyFont="1" applyFill="1" applyBorder="1" applyAlignment="1">
      <alignment vertical="center"/>
    </xf>
    <xf numFmtId="3" fontId="6" fillId="0" borderId="0" xfId="4" applyNumberFormat="1" applyFont="1" applyAlignment="1">
      <alignment vertical="center"/>
    </xf>
    <xf numFmtId="0" fontId="5" fillId="0" borderId="0" xfId="37887" quotePrefix="1" applyNumberFormat="1" applyFont="1" applyFill="1" applyBorder="1" applyAlignment="1">
      <alignment vertical="center"/>
    </xf>
    <xf numFmtId="0" fontId="27" fillId="0" borderId="0" xfId="1962" applyFont="1" applyBorder="1"/>
    <xf numFmtId="166" fontId="5" fillId="0" borderId="152" xfId="1" applyNumberFormat="1" applyFont="1" applyFill="1" applyBorder="1" applyAlignment="1">
      <alignment vertical="center"/>
    </xf>
    <xf numFmtId="0" fontId="27" fillId="0" borderId="0" xfId="0" applyFont="1" applyBorder="1" applyAlignment="1">
      <alignment horizontal="left"/>
    </xf>
    <xf numFmtId="166" fontId="5" fillId="0" borderId="3" xfId="4" applyNumberFormat="1" applyFont="1" applyBorder="1"/>
    <xf numFmtId="0" fontId="5" fillId="0" borderId="56" xfId="0" applyFont="1" applyBorder="1" applyAlignment="1">
      <alignment horizontal="left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58" fillId="0" borderId="0" xfId="3856" applyFont="1" applyFill="1"/>
    <xf numFmtId="0" fontId="158" fillId="0" borderId="0" xfId="3856" applyFont="1"/>
    <xf numFmtId="37" fontId="5" fillId="0" borderId="9" xfId="4" applyNumberFormat="1" applyFont="1" applyBorder="1" applyAlignment="1">
      <alignment horizontal="center"/>
    </xf>
    <xf numFmtId="37" fontId="5" fillId="0" borderId="0" xfId="0" applyNumberFormat="1" applyFont="1"/>
    <xf numFmtId="37" fontId="5" fillId="0" borderId="0" xfId="0" applyNumberFormat="1" applyFont="1" applyAlignment="1">
      <alignment horizontal="center"/>
    </xf>
    <xf numFmtId="165" fontId="5" fillId="0" borderId="0" xfId="2" applyNumberFormat="1" applyFont="1"/>
    <xf numFmtId="166" fontId="5" fillId="0" borderId="0" xfId="1" applyNumberFormat="1" applyFont="1"/>
    <xf numFmtId="166" fontId="5" fillId="0" borderId="147" xfId="1" applyNumberFormat="1" applyFont="1" applyBorder="1"/>
    <xf numFmtId="37" fontId="5" fillId="0" borderId="0" xfId="0" applyNumberFormat="1" applyFont="1" applyAlignment="1">
      <alignment vertical="top"/>
    </xf>
    <xf numFmtId="37" fontId="5" fillId="0" borderId="0" xfId="0" applyNumberFormat="1" applyFont="1" applyAlignment="1">
      <alignment horizontal="left" vertical="top"/>
    </xf>
    <xf numFmtId="37" fontId="166" fillId="0" borderId="0" xfId="0" applyNumberFormat="1" applyFont="1"/>
    <xf numFmtId="43" fontId="166" fillId="0" borderId="0" xfId="1" applyFont="1"/>
    <xf numFmtId="166" fontId="166" fillId="0" borderId="0" xfId="1" applyNumberFormat="1" applyFont="1"/>
    <xf numFmtId="37" fontId="5" fillId="0" borderId="9" xfId="4" applyNumberFormat="1" applyFont="1" applyBorder="1" applyAlignment="1">
      <alignment horizontal="center" vertical="top"/>
    </xf>
    <xf numFmtId="166" fontId="5" fillId="0" borderId="0" xfId="1" applyNumberFormat="1" applyFont="1" applyAlignment="1">
      <alignment vertical="top"/>
    </xf>
    <xf numFmtId="173" fontId="5" fillId="0" borderId="9" xfId="4" applyNumberFormat="1" applyFont="1" applyBorder="1" applyAlignment="1">
      <alignment horizontal="center" wrapText="1"/>
    </xf>
    <xf numFmtId="166" fontId="166" fillId="0" borderId="0" xfId="1" applyNumberFormat="1" applyFont="1" applyAlignment="1">
      <alignment vertical="top"/>
    </xf>
    <xf numFmtId="166" fontId="5" fillId="0" borderId="147" xfId="1" applyNumberFormat="1" applyFont="1" applyBorder="1" applyAlignment="1">
      <alignment vertical="top"/>
    </xf>
    <xf numFmtId="37" fontId="5" fillId="0" borderId="0" xfId="0" applyNumberFormat="1" applyFont="1" applyAlignment="1">
      <alignment wrapText="1"/>
    </xf>
    <xf numFmtId="37" fontId="5" fillId="0" borderId="9" xfId="55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vertical="center" wrapText="1"/>
    </xf>
    <xf numFmtId="43" fontId="8" fillId="0" borderId="0" xfId="1" applyFont="1" applyAlignment="1">
      <alignment horizontal="right" vertical="center"/>
    </xf>
    <xf numFmtId="37" fontId="6" fillId="0" borderId="0" xfId="0" applyNumberFormat="1" applyFont="1" applyAlignment="1">
      <alignment horizontal="left" vertical="center"/>
    </xf>
    <xf numFmtId="37" fontId="8" fillId="0" borderId="0" xfId="0" applyNumberFormat="1" applyFont="1" applyAlignment="1">
      <alignment horizontal="right" vertical="center"/>
    </xf>
    <xf numFmtId="38" fontId="5" fillId="0" borderId="152" xfId="1" applyNumberFormat="1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152" xfId="1962" applyFont="1" applyFill="1" applyBorder="1" applyAlignment="1">
      <alignment vertical="center"/>
    </xf>
    <xf numFmtId="43" fontId="5" fillId="0" borderId="152" xfId="1962" applyNumberFormat="1" applyFont="1" applyFill="1" applyBorder="1" applyAlignment="1">
      <alignment vertical="center"/>
    </xf>
    <xf numFmtId="44" fontId="6" fillId="0" borderId="0" xfId="37887" quotePrefix="1" applyNumberFormat="1" applyFont="1" applyFill="1" applyBorder="1" applyAlignment="1">
      <alignment vertical="center"/>
    </xf>
    <xf numFmtId="0" fontId="27" fillId="0" borderId="9" xfId="1962" applyFont="1" applyFill="1" applyBorder="1"/>
    <xf numFmtId="0" fontId="27" fillId="0" borderId="56" xfId="0" applyFont="1" applyBorder="1" applyAlignment="1">
      <alignment horizontal="left"/>
    </xf>
    <xf numFmtId="166" fontId="5" fillId="0" borderId="138" xfId="4" applyNumberFormat="1" applyFont="1" applyBorder="1"/>
    <xf numFmtId="166" fontId="5" fillId="0" borderId="139" xfId="1" applyNumberFormat="1" applyFont="1" applyBorder="1"/>
    <xf numFmtId="0" fontId="9" fillId="0" borderId="0" xfId="0" applyFont="1" applyProtection="1"/>
    <xf numFmtId="0" fontId="168" fillId="0" borderId="0" xfId="1965" quotePrefix="1" applyFont="1" applyBorder="1" applyAlignment="1">
      <alignment horizontal="center" vertical="center"/>
    </xf>
    <xf numFmtId="0" fontId="158" fillId="0" borderId="0" xfId="1965" applyFont="1" applyBorder="1"/>
    <xf numFmtId="0" fontId="158" fillId="0" borderId="0" xfId="0" applyFont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0" fontId="162" fillId="0" borderId="0" xfId="0" applyFont="1" applyAlignment="1" applyProtection="1">
      <alignment horizontal="center" vertical="center"/>
    </xf>
    <xf numFmtId="3" fontId="5" fillId="0" borderId="94" xfId="4" applyNumberFormat="1" applyFont="1" applyBorder="1" applyAlignment="1">
      <alignment horizontal="centerContinuous" vertical="center"/>
    </xf>
    <xf numFmtId="0" fontId="157" fillId="0" borderId="94" xfId="4" applyFont="1" applyBorder="1" applyAlignment="1">
      <alignment horizontal="centerContinuous" vertical="center"/>
    </xf>
    <xf numFmtId="166" fontId="5" fillId="0" borderId="109" xfId="4" applyNumberFormat="1" applyFont="1" applyBorder="1" applyAlignment="1">
      <alignment vertical="center"/>
    </xf>
    <xf numFmtId="3" fontId="5" fillId="0" borderId="90" xfId="4" applyNumberFormat="1" applyFont="1" applyBorder="1" applyAlignment="1">
      <alignment horizontal="centerContinuous" vertical="center"/>
    </xf>
    <xf numFmtId="166" fontId="5" fillId="0" borderId="90" xfId="2408" applyNumberFormat="1" applyFont="1" applyBorder="1" applyAlignment="1">
      <alignment horizontal="center" vertical="center"/>
    </xf>
    <xf numFmtId="0" fontId="6" fillId="0" borderId="150" xfId="4" applyFont="1" applyBorder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17" fillId="0" borderId="0" xfId="4" applyFont="1" applyAlignment="1">
      <alignment horizontal="center" vertical="center"/>
    </xf>
    <xf numFmtId="0" fontId="9" fillId="0" borderId="0" xfId="4" applyFont="1" applyFill="1" applyAlignment="1">
      <alignment vertical="center"/>
    </xf>
    <xf numFmtId="165" fontId="5" fillId="0" borderId="0" xfId="1" applyNumberFormat="1" applyFont="1" applyFill="1" applyBorder="1"/>
    <xf numFmtId="0" fontId="6" fillId="3" borderId="0" xfId="4" applyFont="1" applyFill="1" applyAlignment="1">
      <alignment horizontal="center"/>
    </xf>
    <xf numFmtId="0" fontId="6" fillId="0" borderId="0" xfId="4" applyFont="1" applyAlignment="1">
      <alignment horizontal="center"/>
    </xf>
    <xf numFmtId="6" fontId="6" fillId="0" borderId="0" xfId="4" quotePrefix="1" applyNumberFormat="1" applyFont="1" applyAlignment="1">
      <alignment horizontal="center"/>
    </xf>
    <xf numFmtId="0" fontId="6" fillId="0" borderId="0" xfId="1965" applyFont="1" applyAlignment="1">
      <alignment horizontal="center" wrapText="1"/>
    </xf>
    <xf numFmtId="0" fontId="6" fillId="0" borderId="0" xfId="1965" applyFont="1" applyAlignment="1">
      <alignment horizontal="center"/>
    </xf>
    <xf numFmtId="0" fontId="6" fillId="3" borderId="0" xfId="1965" applyFont="1" applyFill="1" applyAlignment="1">
      <alignment horizontal="center"/>
    </xf>
    <xf numFmtId="0" fontId="6" fillId="0" borderId="0" xfId="1965" quotePrefix="1" applyFont="1" applyAlignment="1">
      <alignment horizontal="center"/>
    </xf>
    <xf numFmtId="0" fontId="6" fillId="0" borderId="0" xfId="2012" applyFont="1" applyAlignment="1" applyProtection="1">
      <alignment horizontal="center"/>
    </xf>
    <xf numFmtId="2" fontId="6" fillId="2" borderId="0" xfId="2012" applyNumberFormat="1" applyFont="1" applyFill="1" applyAlignment="1" applyProtection="1">
      <alignment horizontal="center"/>
    </xf>
    <xf numFmtId="49" fontId="6" fillId="0" borderId="0" xfId="4" applyNumberFormat="1" applyFont="1" applyAlignment="1">
      <alignment horizontal="center"/>
    </xf>
    <xf numFmtId="0" fontId="6" fillId="0" borderId="0" xfId="2012" applyFont="1" applyAlignment="1" applyProtection="1">
      <alignment horizontal="center"/>
      <protection locked="0"/>
    </xf>
    <xf numFmtId="2" fontId="6" fillId="2" borderId="0" xfId="1965" applyNumberFormat="1" applyFont="1" applyFill="1" applyAlignment="1">
      <alignment horizontal="center"/>
    </xf>
    <xf numFmtId="0" fontId="6" fillId="0" borderId="0" xfId="0" quotePrefix="1" applyFont="1" applyFill="1" applyAlignment="1">
      <alignment horizontal="center" vertical="center"/>
    </xf>
    <xf numFmtId="0" fontId="6" fillId="3" borderId="0" xfId="1604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9" fillId="0" borderId="0" xfId="0" quotePrefix="1" applyFont="1" applyFill="1" applyAlignment="1">
      <alignment horizontal="center" vertical="center"/>
    </xf>
    <xf numFmtId="0" fontId="6" fillId="0" borderId="0" xfId="4" applyFont="1" applyAlignment="1" applyProtection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2" borderId="0" xfId="4" applyFont="1" applyFill="1" applyAlignment="1" applyProtection="1">
      <alignment horizontal="center" vertical="center"/>
    </xf>
    <xf numFmtId="0" fontId="6" fillId="2" borderId="0" xfId="4" applyFont="1" applyFill="1" applyAlignment="1">
      <alignment vertical="center"/>
    </xf>
    <xf numFmtId="0" fontId="6" fillId="0" borderId="0" xfId="4" quotePrefix="1" applyFont="1" applyAlignment="1" applyProtection="1">
      <alignment horizontal="center" vertical="center"/>
    </xf>
    <xf numFmtId="0" fontId="6" fillId="0" borderId="0" xfId="4" quotePrefix="1" applyFont="1" applyAlignment="1">
      <alignment horizontal="center" vertical="center"/>
    </xf>
    <xf numFmtId="0" fontId="5" fillId="0" borderId="0" xfId="4" applyFont="1" applyAlignment="1">
      <alignment vertical="center"/>
    </xf>
    <xf numFmtId="0" fontId="6" fillId="2" borderId="0" xfId="4" applyFont="1" applyFill="1" applyAlignment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0" fontId="6" fillId="0" borderId="0" xfId="0" quotePrefix="1" applyFont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3856" applyFont="1" applyFill="1" applyAlignment="1">
      <alignment horizontal="center"/>
    </xf>
    <xf numFmtId="0" fontId="6" fillId="0" borderId="0" xfId="3856" applyFont="1" applyAlignment="1">
      <alignment horizontal="center"/>
    </xf>
    <xf numFmtId="0" fontId="6" fillId="0" borderId="0" xfId="4" quotePrefix="1" applyFont="1" applyAlignment="1" applyProtection="1">
      <alignment horizontal="center" vertical="justify"/>
    </xf>
    <xf numFmtId="0" fontId="6" fillId="0" borderId="0" xfId="4" applyFont="1" applyFill="1" applyAlignment="1">
      <alignment horizontal="center" vertical="center"/>
    </xf>
    <xf numFmtId="0" fontId="6" fillId="0" borderId="0" xfId="4" quotePrefix="1" applyFont="1" applyFill="1" applyAlignment="1">
      <alignment horizontal="center" vertical="center"/>
    </xf>
    <xf numFmtId="37" fontId="6" fillId="0" borderId="0" xfId="1604" applyNumberFormat="1" applyFont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0" fontId="6" fillId="0" borderId="0" xfId="4" quotePrefix="1" applyFont="1" applyFill="1" applyBorder="1" applyAlignment="1">
      <alignment horizontal="center"/>
    </xf>
    <xf numFmtId="0" fontId="6" fillId="0" borderId="0" xfId="0" quotePrefix="1" applyFont="1" applyBorder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6" fillId="0" borderId="0" xfId="0" quotePrefix="1" applyNumberFormat="1" applyFont="1" applyAlignment="1">
      <alignment horizontal="center" vertical="center"/>
    </xf>
    <xf numFmtId="0" fontId="6" fillId="0" borderId="0" xfId="4" applyFont="1" applyAlignment="1" applyProtection="1">
      <alignment horizontal="center"/>
    </xf>
    <xf numFmtId="0" fontId="6" fillId="0" borderId="0" xfId="4" applyFont="1" applyFill="1" applyAlignment="1" applyProtection="1">
      <alignment horizontal="center"/>
    </xf>
    <xf numFmtId="5" fontId="6" fillId="0" borderId="0" xfId="4" quotePrefix="1" applyNumberFormat="1" applyFont="1" applyAlignment="1" applyProtection="1">
      <alignment horizontal="center" vertical="center"/>
    </xf>
    <xf numFmtId="0" fontId="29" fillId="0" borderId="0" xfId="4" applyFont="1" applyAlignment="1">
      <alignment horizontal="center" vertical="center"/>
    </xf>
    <xf numFmtId="0" fontId="29" fillId="0" borderId="0" xfId="4" quotePrefix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0" applyFont="1" applyAlignment="1">
      <alignment horizontal="center" vertical="justify"/>
    </xf>
    <xf numFmtId="5" fontId="6" fillId="0" borderId="0" xfId="0" applyNumberFormat="1" applyFont="1" applyAlignment="1">
      <alignment horizontal="center" vertical="center"/>
    </xf>
    <xf numFmtId="0" fontId="6" fillId="0" borderId="0" xfId="4" quotePrefix="1" applyFont="1" applyFill="1" applyAlignment="1">
      <alignment horizontal="center"/>
    </xf>
    <xf numFmtId="0" fontId="6" fillId="0" borderId="0" xfId="4" applyFont="1" applyAlignment="1"/>
    <xf numFmtId="0" fontId="6" fillId="0" borderId="0" xfId="4" applyFont="1" applyFill="1" applyAlignment="1">
      <alignment horizontal="center"/>
    </xf>
    <xf numFmtId="0" fontId="6" fillId="2" borderId="0" xfId="4" applyFont="1" applyFill="1" applyAlignment="1">
      <alignment horizontal="center"/>
    </xf>
    <xf numFmtId="0" fontId="6" fillId="2" borderId="0" xfId="4" applyFont="1" applyFill="1" applyAlignment="1"/>
    <xf numFmtId="0" fontId="5" fillId="0" borderId="0" xfId="0" applyFont="1" applyAlignment="1">
      <alignment vertical="center"/>
    </xf>
  </cellXfs>
  <cellStyles count="38103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" xfId="38096" builtinId="6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101" xr:uid="{00000000-0005-0000-0000-0000FE940000}"/>
    <cellStyle name="Comma 16" xfId="1452" xr:uid="{00000000-0005-0000-0000-0000ED050000}"/>
    <cellStyle name="Comma 164" xfId="38097" xr:uid="{7AB220A9-AC52-49D8-99B2-8E0F9AC44F2C}"/>
    <cellStyle name="Comma 165" xfId="38098" xr:uid="{E07A24B8-7FFD-4AF8-BC5B-CB73E4B5710D}"/>
    <cellStyle name="Comma 166" xfId="38099" xr:uid="{490B61AB-10B0-4BC5-9715-B60675D32BE6}"/>
    <cellStyle name="Comma 17" xfId="1453" xr:uid="{00000000-0005-0000-0000-0000EE050000}"/>
    <cellStyle name="Comma 18" xfId="1454" xr:uid="{00000000-0005-0000-0000-0000EF050000}"/>
    <cellStyle name="Comma 19" xfId="1455" xr:uid="{00000000-0005-0000-0000-0000F005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1" xfId="1478" xr:uid="{00000000-0005-0000-0000-0000330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102" xr:uid="{00000000-0005-0000-0000-0000FF940000}"/>
    <cellStyle name="Currency 11" xfId="1959" xr:uid="{00000000-0005-0000-0000-0000EA060000}"/>
    <cellStyle name="Currency 12" xfId="23" xr:uid="{00000000-0005-0000-0000-0000EB060000}"/>
    <cellStyle name="Currency 13" xfId="2023" xr:uid="{00000000-0005-0000-0000-0000EC0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1" xfId="2569" xr:uid="{00000000-0005-0000-0000-0000BD08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100" xr:uid="{00000000-0005-0000-0000-000000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3" xfId="564" xr:uid="{00000000-0005-0000-0000-00005E100000}"/>
    <cellStyle name="SAPBEXaggDataEmph 3 10" xfId="22292" xr:uid="{00000000-0005-0000-0000-00005F10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3" xfId="586" xr:uid="{00000000-0005-0000-0000-00009E150000}"/>
    <cellStyle name="SAPBEXaggItemX 3 10" xfId="4988" xr:uid="{00000000-0005-0000-0000-00009F15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2" xfId="597" xr:uid="{00000000-0005-0000-0000-00003417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2" xfId="649" xr:uid="{00000000-0005-0000-0000-00002420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4" xfId="744" xr:uid="{00000000-0005-0000-0000-000073320000}"/>
    <cellStyle name="SAPBEXfilterDrill 4 10" xfId="37983" xr:uid="{00000000-0005-0000-0000-000074320000}"/>
    <cellStyle name="SAPBEXfilterDrill 4 2" xfId="745" xr:uid="{00000000-0005-0000-0000-0000753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2" xfId="747" xr:uid="{00000000-0005-0000-0000-0000893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2" xfId="749" xr:uid="{00000000-0005-0000-0000-00009D3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2" xfId="751" xr:uid="{00000000-0005-0000-0000-0000B13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9" xfId="753" xr:uid="{00000000-0005-0000-0000-0000CA3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3" xfId="771" xr:uid="{00000000-0005-0000-0000-00009634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2" xfId="788" xr:uid="{00000000-0005-0000-0000-00007736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2" xfId="792" xr:uid="{00000000-0005-0000-0000-0000A536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2" xfId="795" xr:uid="{00000000-0005-0000-0000-0000D236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2" xfId="797" xr:uid="{00000000-0005-0000-0000-0000E636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2" xfId="799" xr:uid="{00000000-0005-0000-0000-0000FA36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2" xfId="801" xr:uid="{00000000-0005-0000-0000-00000E37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2" xfId="805" xr:uid="{00000000-0005-0000-0000-00003B37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2" xfId="809" xr:uid="{00000000-0005-0000-0000-00006937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2" xfId="812" xr:uid="{00000000-0005-0000-0000-00009637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2" xfId="814" xr:uid="{00000000-0005-0000-0000-0000AA37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2" xfId="816" xr:uid="{00000000-0005-0000-0000-0000BE37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2" xfId="818" xr:uid="{00000000-0005-0000-0000-0000D237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2" xfId="937" xr:uid="{00000000-0005-0000-0000-00008582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3" xfId="938" xr:uid="{00000000-0005-0000-0000-0000C0820000}"/>
    <cellStyle name="SAPBEXresData 3 10" xfId="5114" xr:uid="{00000000-0005-0000-0000-0000C182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3" xfId="943" xr:uid="{00000000-0005-0000-0000-00008984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2" xfId="946" xr:uid="{00000000-0005-0000-0000-00000D86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3" xfId="947" xr:uid="{00000000-0005-0000-0000-000048860000}"/>
    <cellStyle name="SAPBEXresItem 3 10" xfId="5123" xr:uid="{00000000-0005-0000-0000-00004986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2" xfId="952" xr:uid="{00000000-0005-0000-0000-0000CF87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3" xfId="953" xr:uid="{00000000-0005-0000-0000-000008880000}"/>
    <cellStyle name="SAPBEXresItemX 3 10" xfId="5129" xr:uid="{00000000-0005-0000-0000-00000988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2" xfId="963" xr:uid="{00000000-0005-0000-0000-0000078A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3" xfId="976" xr:uid="{00000000-0005-0000-0000-00003E8C0000}"/>
    <cellStyle name="SAPBEXstdDataEmph 3 10" xfId="22504" xr:uid="{00000000-0005-0000-0000-00003F8C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2" xfId="985" xr:uid="{00000000-0005-0000-0000-00003E8E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2" xfId="991" xr:uid="{00000000-0005-0000-0000-0000E38E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3" xfId="1001" xr:uid="{00000000-0005-0000-0000-00008C900000}"/>
    <cellStyle name="SAPBEXstdItemX 3 10" xfId="5153" xr:uid="{00000000-0005-0000-0000-00008D90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2" xfId="1004" xr:uid="{00000000-0005-0000-0000-0000BC90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3" xfId="1023" xr:uid="{00000000-0005-0000-0000-0000FD920000}"/>
    <cellStyle name="SAPBEXundefined 3 10" xfId="22517" xr:uid="{00000000-0005-0000-0000-0000FE92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CC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4.xml"/><Relationship Id="rId68" Type="http://schemas.openxmlformats.org/officeDocument/2006/relationships/externalLink" Target="externalLinks/externalLink9.xml"/><Relationship Id="rId84" Type="http://schemas.openxmlformats.org/officeDocument/2006/relationships/externalLink" Target="externalLinks/externalLink25.xml"/><Relationship Id="rId89" Type="http://schemas.openxmlformats.org/officeDocument/2006/relationships/externalLink" Target="externalLinks/externalLink30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2.xml"/><Relationship Id="rId92" Type="http://schemas.openxmlformats.org/officeDocument/2006/relationships/externalLink" Target="externalLinks/externalLink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7.xml"/><Relationship Id="rId74" Type="http://schemas.openxmlformats.org/officeDocument/2006/relationships/externalLink" Target="externalLinks/externalLink15.xml"/><Relationship Id="rId79" Type="http://schemas.openxmlformats.org/officeDocument/2006/relationships/externalLink" Target="externalLinks/externalLink20.xml"/><Relationship Id="rId87" Type="http://schemas.openxmlformats.org/officeDocument/2006/relationships/externalLink" Target="externalLinks/externalLink28.xml"/><Relationship Id="rId102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.xml"/><Relationship Id="rId82" Type="http://schemas.openxmlformats.org/officeDocument/2006/relationships/externalLink" Target="externalLinks/externalLink23.xml"/><Relationship Id="rId90" Type="http://schemas.openxmlformats.org/officeDocument/2006/relationships/externalLink" Target="externalLinks/externalLink31.xml"/><Relationship Id="rId95" Type="http://schemas.openxmlformats.org/officeDocument/2006/relationships/externalLink" Target="externalLinks/externalLink36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5.xml"/><Relationship Id="rId69" Type="http://schemas.openxmlformats.org/officeDocument/2006/relationships/externalLink" Target="externalLinks/externalLink10.xml"/><Relationship Id="rId77" Type="http://schemas.openxmlformats.org/officeDocument/2006/relationships/externalLink" Target="externalLinks/externalLink18.xml"/><Relationship Id="rId100" Type="http://schemas.openxmlformats.org/officeDocument/2006/relationships/styles" Target="styles.xml"/><Relationship Id="rId105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3.xml"/><Relationship Id="rId80" Type="http://schemas.openxmlformats.org/officeDocument/2006/relationships/externalLink" Target="externalLinks/externalLink21.xml"/><Relationship Id="rId85" Type="http://schemas.openxmlformats.org/officeDocument/2006/relationships/externalLink" Target="externalLinks/externalLink26.xml"/><Relationship Id="rId93" Type="http://schemas.openxmlformats.org/officeDocument/2006/relationships/externalLink" Target="externalLinks/externalLink34.xml"/><Relationship Id="rId98" Type="http://schemas.openxmlformats.org/officeDocument/2006/relationships/externalLink" Target="externalLinks/externalLink39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8.xml"/><Relationship Id="rId103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3.xml"/><Relationship Id="rId70" Type="http://schemas.openxmlformats.org/officeDocument/2006/relationships/externalLink" Target="externalLinks/externalLink11.xml"/><Relationship Id="rId75" Type="http://schemas.openxmlformats.org/officeDocument/2006/relationships/externalLink" Target="externalLinks/externalLink16.xml"/><Relationship Id="rId83" Type="http://schemas.openxmlformats.org/officeDocument/2006/relationships/externalLink" Target="externalLinks/externalLink24.xml"/><Relationship Id="rId88" Type="http://schemas.openxmlformats.org/officeDocument/2006/relationships/externalLink" Target="externalLinks/externalLink29.xml"/><Relationship Id="rId91" Type="http://schemas.openxmlformats.org/officeDocument/2006/relationships/externalLink" Target="externalLinks/externalLink32.xml"/><Relationship Id="rId96" Type="http://schemas.openxmlformats.org/officeDocument/2006/relationships/externalLink" Target="externalLinks/externalLink3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1.xml"/><Relationship Id="rId65" Type="http://schemas.openxmlformats.org/officeDocument/2006/relationships/externalLink" Target="externalLinks/externalLink6.xml"/><Relationship Id="rId73" Type="http://schemas.openxmlformats.org/officeDocument/2006/relationships/externalLink" Target="externalLinks/externalLink14.xml"/><Relationship Id="rId78" Type="http://schemas.openxmlformats.org/officeDocument/2006/relationships/externalLink" Target="externalLinks/externalLink19.xml"/><Relationship Id="rId81" Type="http://schemas.openxmlformats.org/officeDocument/2006/relationships/externalLink" Target="externalLinks/externalLink22.xml"/><Relationship Id="rId86" Type="http://schemas.openxmlformats.org/officeDocument/2006/relationships/externalLink" Target="externalLinks/externalLink27.xml"/><Relationship Id="rId94" Type="http://schemas.openxmlformats.org/officeDocument/2006/relationships/externalLink" Target="externalLinks/externalLink35.xml"/><Relationship Id="rId99" Type="http://schemas.openxmlformats.org/officeDocument/2006/relationships/theme" Target="theme/theme1.xml"/><Relationship Id="rId10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17.xml"/><Relationship Id="rId97" Type="http://schemas.openxmlformats.org/officeDocument/2006/relationships/externalLink" Target="externalLinks/externalLink38.xml"/><Relationship Id="rId10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51</xdr:row>
      <xdr:rowOff>107156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SpPr txBox="1"/>
      </xdr:nvSpPr>
      <xdr:spPr>
        <a:xfrm>
          <a:off x="238125" y="8612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0</xdr:colOff>
      <xdr:row>44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3600-000005000000}"/>
            </a:ext>
          </a:extLst>
        </xdr:cNvPr>
        <xdr:cNvSpPr txBox="1"/>
      </xdr:nvSpPr>
      <xdr:spPr>
        <a:xfrm>
          <a:off x="9702800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6</xdr:col>
      <xdr:colOff>238125</xdr:colOff>
      <xdr:row>44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3600-000006000000}"/>
            </a:ext>
          </a:extLst>
        </xdr:cNvPr>
        <xdr:cNvSpPr txBox="1"/>
      </xdr:nvSpPr>
      <xdr:spPr>
        <a:xfrm>
          <a:off x="7527925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0</xdr:colOff>
      <xdr:row>32</xdr:row>
      <xdr:rowOff>107156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3600-000007000000}"/>
            </a:ext>
          </a:extLst>
        </xdr:cNvPr>
        <xdr:cNvSpPr txBox="1"/>
      </xdr:nvSpPr>
      <xdr:spPr>
        <a:xfrm>
          <a:off x="238125" y="9308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3C00-00000A000000}"/>
            </a:ext>
          </a:extLst>
        </xdr:cNvPr>
        <xdr:cNvSpPr>
          <a:spLocks noChangeShapeType="1"/>
        </xdr:cNvSpPr>
      </xdr:nvSpPr>
      <xdr:spPr bwMode="auto">
        <a:xfrm>
          <a:off x="1900239" y="18494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3C00-00000B000000}"/>
            </a:ext>
          </a:extLst>
        </xdr:cNvPr>
        <xdr:cNvSpPr>
          <a:spLocks noChangeShapeType="1"/>
        </xdr:cNvSpPr>
      </xdr:nvSpPr>
      <xdr:spPr bwMode="auto">
        <a:xfrm>
          <a:off x="1757367" y="208470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FAE0C551-8FBA-4573-88B7-522B0C64DEE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8D4DA71E-558B-4AF1-9A30-3B9ABF1B6AF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148</xdr:row>
      <xdr:rowOff>-1</xdr:rowOff>
    </xdr:from>
    <xdr:to>
      <xdr:col>2</xdr:col>
      <xdr:colOff>312424</xdr:colOff>
      <xdr:row>148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6E6CAFC7-8228-4CF7-AEB1-3E5AC43A2814}"/>
            </a:ext>
          </a:extLst>
        </xdr:cNvPr>
        <xdr:cNvSpPr>
          <a:spLocks noChangeShapeType="1"/>
        </xdr:cNvSpPr>
      </xdr:nvSpPr>
      <xdr:spPr bwMode="auto">
        <a:xfrm>
          <a:off x="1741492" y="3082289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DGE/ROR/2002/6-02/RB060212BU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Documents%20and%20Settings/PMALIN/Local%20Settings/Temporary%20Internet%20Files/OLKDE/RB030212BU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ward/Desktop/sps.sempra.com@SSL/TAX/DATA/TaxProvision/2001/4th%20Qtr/SE%20Provision%202001%204th%20Qtr%20-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Users/sward/Desktop/sps.sempra.com@SSL/TAX/DATA/TaxProvision/2001/4th%20Qtr/SE%20Provision%202001%204th%20Qtr%20-%20FINA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.sharepoint.com/SDGE/ROR/2002/6-02/RB060212BU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CEL/93CAPADJ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DATA/EXCEL/93CAPADJ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DATA/EXCEL/93CAPADJ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Documents%20and%20Settings/Owner/Local%20Settings/Temporary%20Internet%20Files/Content.IE5/OTUBC9QR/SD_LRMC_124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SDGE\ROR\2002\6-02\RB060212BU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2012-2016%20Plan/Incremental%20Projects/Rim%20Rock/EconExpert-Partnerships%20V12-10009.7.8-22%20SDGE%2006302010%20Mnthly%20NatEner%20Links%20ob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SDGE/ROR/2002/6-02/RB060212BU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fo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st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Area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nancial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river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Cd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mm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PM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AX\DATA\TaxProvision\2001\4th%2520Qtr\SE%2520Provision%25202001%25204th%2520Qtr%2520-%2520FINAL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hase%20Manhattan\Robin\SAES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SDGE/ROR/2002/6-02/RB060212BU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ATA\EXCEL\93CAPADJ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CEI/CEI%20Proforma/CEI%20Commercial%20Proforma/Wind/NO%20EconExpert-Wind%207056.9%20BF%20Has%20Master%20-%20MONTHLY%20IRR%20v.5%20-%205-29-2010%20NO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TAX\DATA\TaxProvision\2002\4th%2520QTR\Provision%25202002%25204th%2520Qtr_SETOP%2520II_Final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500%20PAGOS%20ANTICIPADOS%20%20Leadsheet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300%20Cuentas%20por%20Cobrar%20Combined%20Leadsheet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35%20Papel%20de%20Trabajo%20de%20Activo%20Fijo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715%20Concliaci&#243;n%20Contable-Fiscal%20%20%20PPC%20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ward/Desktop/sps.sempra.com@SSL/TAX/DATA/TaxProvision/2000/4th%20Qtr/SEI&amp;Subs/SEI%20Provision%202000%20Adjustment%204thQtr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Users/sward/Desktop/sps.sempra.com@SSL/TAX/DATA/TaxProvision/2000/4th%20Qtr/SEI&amp;Subs/SEI%20Provision%202000%20Adjustment%204thQtr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-cp1b\Data\Stomayko\SEI%20Standardized%20Model\Bangor\Bangor_FAS142ValuationModel_Simple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ward/Desktop/sps.sempra.com@SSL/windows/TEMP/Ajaz%20Projections%203-2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Users/sward/Desktop/sps.sempra.com@SSL/windows/TEMP/Ajaz%20Projections%203-2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TAX\DATA\TaxProvision\2001\4th%2520Qtr\SE%2520Provision%25202001%25204th%2520Qtr%2520-%2520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WINDOWS/TEMP/BCK_UP/00deprec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MALIN/Local%20Settings/Temporary%20Internet%20Files/OLKDE/RB030212BU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Documents%20and%20Settings/PMALIN/Local%20Settings/Temporary%20Internet%20Files/OLKDE/RB030212B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  <sheetName val="A"/>
    </sheetNames>
    <sheetDataSet>
      <sheetData sheetId="0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Cust Fcst Allocators"/>
      <sheetName val="2001 Cust"/>
      <sheetName val="Cust Forecast"/>
      <sheetName val="New Meters"/>
      <sheetName val="NM Allocation"/>
      <sheetName val="Cust MSA"/>
      <sheetName val="Cust MSA Flow to Usage Conv"/>
      <sheetName val="Cust SRM Cost"/>
      <sheetName val="Cust Replace Cost"/>
      <sheetName val="Cust Annual SRM"/>
      <sheetName val="Cust Acct Weights"/>
      <sheetName val="Cust Acct Alloc"/>
      <sheetName val="Cust Acct Serv"/>
      <sheetName val="Cust Acct Serv Total"/>
      <sheetName val="Cust MSA LRMC"/>
      <sheetName val="Cust Class SRM LRMC"/>
      <sheetName val="Cust Class Total LRMC"/>
      <sheetName val="NGV Comp"/>
      <sheetName val="LRMC Summary Cust"/>
      <sheetName val="Distr Fcst Inv"/>
      <sheetName val="Distr Econ Ind"/>
      <sheetName val="Distr Reg Inv"/>
      <sheetName val="Distr His Invest (JP)"/>
      <sheetName val="HP Customers"/>
      <sheetName val="MP Customers"/>
      <sheetName val="HPD PD Det"/>
      <sheetName val="MPD PD Det"/>
      <sheetName val="Distr NPD Det"/>
      <sheetName val="Dist CPM Det"/>
      <sheetName val="HPD Distr Regress"/>
      <sheetName val="MPD Distr Regress"/>
      <sheetName val="Distr LRMCs"/>
      <sheetName val="Trans CPM Det"/>
      <sheetName val="Trans Invest&amp; Loads"/>
      <sheetName val="Trans LRMCs"/>
      <sheetName val="LF - O&amp;M"/>
      <sheetName val="LF - O&amp;M Expense"/>
      <sheetName val="LF - O&amp;M Expense (Old)"/>
      <sheetName val="LF -Distr O&amp;M"/>
      <sheetName val="LF -Distr O&amp;M (Old)"/>
      <sheetName val="LF - M&amp;S"/>
      <sheetName val="LF - A&amp;G"/>
      <sheetName val="LF - A&amp;G on O&amp;M (Old)"/>
      <sheetName val="LF - A&amp;G Distr O&amp;M (Old)"/>
      <sheetName val="LF - GPL"/>
      <sheetName val="LF - GPL (Old)"/>
      <sheetName val="LRMC Summary Distr"/>
      <sheetName val="LRMC Summary Trans"/>
      <sheetName val="Factors"/>
      <sheetName val="Base Margin"/>
      <sheetName val="Distr Reg Inv (JP)"/>
      <sheetName val="Distr Regress (Old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nerships Module License"/>
      <sheetName val="SpFor"/>
      <sheetName val="Title"/>
      <sheetName val="Optimizer"/>
      <sheetName val="Partnership Optimizer"/>
      <sheetName val="Export to RR"/>
      <sheetName val="Partner 1 PRESENTABLE"/>
      <sheetName val="Sheet2"/>
      <sheetName val="Table 1 Partnership Inputs"/>
      <sheetName val="Table 2 Total Partnership"/>
      <sheetName val="Table 3 Partnership by Partner"/>
      <sheetName val="Partner 1 Reports"/>
      <sheetName val="To-Do List"/>
      <sheetName val="Partner 1 Monthly IRR"/>
      <sheetName val="TABLE1 CONTROLS"/>
      <sheetName val="Monthly IRR Inputs"/>
      <sheetName val="Partner 1 Monthly IRR (2)"/>
      <sheetName val="Partner 2 Monthly IRR"/>
      <sheetName val="SCENARIOS"/>
      <sheetName val="Partner 3 Monthly IRR"/>
      <sheetName val="Total"/>
      <sheetName val="Benefits Breakdown"/>
      <sheetName val="Partner 1 Back-Leverage"/>
      <sheetName val="Partner 2 Reports"/>
      <sheetName val="Partner 2 Back-Leverage"/>
      <sheetName val="Partner 3 Reports"/>
      <sheetName val="Partner 3 Back-Leverage"/>
      <sheetName val="Partner 4 Reports"/>
      <sheetName val="Partner 5 Reports"/>
      <sheetName val="Partner 6 Reports"/>
      <sheetName val="Partner 7 Reports"/>
      <sheetName val="Partner 8 Reports"/>
      <sheetName val="Partner 9 Reports"/>
      <sheetName val="Partner 10 Reports"/>
      <sheetName val="Diagnostics"/>
      <sheetName val="Imported Project Data"/>
      <sheetName val="2010 Corporate State Tax Rates"/>
    </sheetNames>
    <sheetDataSet>
      <sheetData sheetId="0"/>
      <sheetData sheetId="1">
        <row r="1">
          <cell r="A1" t="b">
            <v>0</v>
          </cell>
        </row>
        <row r="2">
          <cell r="A2">
            <v>1</v>
          </cell>
        </row>
        <row r="3">
          <cell r="A3">
            <v>1</v>
          </cell>
        </row>
      </sheetData>
      <sheetData sheetId="2">
        <row r="8">
          <cell r="A8">
            <v>1</v>
          </cell>
          <cell r="B8">
            <v>0</v>
          </cell>
        </row>
        <row r="25">
          <cell r="AT25">
            <v>0</v>
          </cell>
        </row>
        <row r="27">
          <cell r="AT27">
            <v>0</v>
          </cell>
        </row>
        <row r="38">
          <cell r="A38" t="str">
            <v>The EconExpert-Partnerships Module is Enabled</v>
          </cell>
        </row>
      </sheetData>
      <sheetData sheetId="3">
        <row r="4">
          <cell r="M4">
            <v>40725</v>
          </cell>
        </row>
        <row r="75">
          <cell r="C75" t="str">
            <v>WARNING - Please select Target Years
 and 1 Item in each column</v>
          </cell>
        </row>
      </sheetData>
      <sheetData sheetId="4">
        <row r="30">
          <cell r="C30">
            <v>-162.29600585925351</v>
          </cell>
        </row>
        <row r="31">
          <cell r="C31">
            <v>0</v>
          </cell>
        </row>
        <row r="44">
          <cell r="C44">
            <v>0</v>
          </cell>
        </row>
      </sheetData>
      <sheetData sheetId="5">
        <row r="2">
          <cell r="D2">
            <v>1</v>
          </cell>
        </row>
      </sheetData>
      <sheetData sheetId="6"/>
      <sheetData sheetId="7"/>
      <sheetData sheetId="8">
        <row r="6">
          <cell r="E6" t="str">
            <v>Partner 1 San Diego Gas and Electric</v>
          </cell>
        </row>
        <row r="35">
          <cell r="B35" t="str">
            <v>Section 1 - Partner ID, % Ownership and Discount Rates</v>
          </cell>
        </row>
        <row r="37">
          <cell r="K37" t="str">
            <v>Tax Basis</v>
          </cell>
        </row>
        <row r="40">
          <cell r="B40" t="str">
            <v>San Diego Gas and Electric</v>
          </cell>
          <cell r="C40">
            <v>0.65</v>
          </cell>
        </row>
        <row r="41">
          <cell r="B41" t="str">
            <v>NaturEner</v>
          </cell>
          <cell r="C41">
            <v>0.24999999999999997</v>
          </cell>
        </row>
        <row r="42">
          <cell r="B42" t="str">
            <v>Sempra</v>
          </cell>
          <cell r="C42">
            <v>0.1</v>
          </cell>
        </row>
        <row r="54">
          <cell r="B54" t="str">
            <v>Section 2 - Equity and Capital Calls</v>
          </cell>
        </row>
        <row r="71">
          <cell r="B71" t="str">
            <v>San Diego Gas and Electric</v>
          </cell>
        </row>
        <row r="246">
          <cell r="B246" t="str">
            <v>Section 3 - Deficit Restoration Obligations</v>
          </cell>
        </row>
        <row r="350">
          <cell r="B350" t="str">
            <v>Section 4 - Revenue Sources for Partners</v>
          </cell>
        </row>
        <row r="514">
          <cell r="B514" t="str">
            <v>Section 5 - Liabilities / Recourse Debt Obligations</v>
          </cell>
        </row>
        <row r="546">
          <cell r="B546" t="str">
            <v>Section 6 - Federal Taxes and Tax Benefits</v>
          </cell>
        </row>
        <row r="695">
          <cell r="B695" t="str">
            <v>Section 7 - State Taxes and Tax Benefits</v>
          </cell>
        </row>
        <row r="943">
          <cell r="B943" t="str">
            <v>Section 8 - Adjustments to Capital
                    Transfers of Ownership</v>
          </cell>
        </row>
      </sheetData>
      <sheetData sheetId="9"/>
      <sheetData sheetId="10">
        <row r="9">
          <cell r="C9">
            <v>0</v>
          </cell>
          <cell r="D9">
            <v>5.96257159486413E-2</v>
          </cell>
          <cell r="E9">
            <v>0.11113371234387159</v>
          </cell>
          <cell r="F9">
            <v>-112332.83953555327</v>
          </cell>
          <cell r="G9">
            <v>-17206.72837623769</v>
          </cell>
          <cell r="H9">
            <v>77506.439407717393</v>
          </cell>
        </row>
        <row r="10">
          <cell r="C10">
            <v>-9.2119217285104082E-2</v>
          </cell>
          <cell r="D10">
            <v>3.4951430664062505E-2</v>
          </cell>
          <cell r="E10">
            <v>1E-8</v>
          </cell>
          <cell r="F10">
            <v>-54254.783625673044</v>
          </cell>
          <cell r="G10">
            <v>33850.85540064011</v>
          </cell>
          <cell r="H10">
            <v>-25682.191512989477</v>
          </cell>
        </row>
        <row r="11">
          <cell r="C11">
            <v>-0.24068628731224684</v>
          </cell>
          <cell r="D11">
            <v>-1.0316221746541562E-2</v>
          </cell>
          <cell r="E11">
            <v>0.14462252441406248</v>
          </cell>
          <cell r="F11">
            <v>-34541.463442640095</v>
          </cell>
          <cell r="G11">
            <v>-3642.1417311872319</v>
          </cell>
          <cell r="H11">
            <v>233283.96062809508</v>
          </cell>
        </row>
        <row r="12">
          <cell r="C12">
            <v>-0.26227616642467677</v>
          </cell>
          <cell r="D12">
            <v>6.1925102539062499E-2</v>
          </cell>
          <cell r="E12">
            <v>7.1370522460937488E-2</v>
          </cell>
          <cell r="F12">
            <v>-23738.311478186748</v>
          </cell>
          <cell r="G12">
            <v>20053.096813074615</v>
          </cell>
          <cell r="H12">
            <v>25163.681606017326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175">
          <cell r="B175" t="str">
            <v>End of Period Capital Accounts, $000s</v>
          </cell>
        </row>
        <row r="201">
          <cell r="B201">
            <v>0</v>
          </cell>
        </row>
        <row r="240">
          <cell r="B240" t="str">
            <v>Minimum Gain Chargeback, $000s</v>
          </cell>
        </row>
        <row r="525">
          <cell r="B525" t="str">
            <v>Cash Flow Distributions from Partnership  $000s</v>
          </cell>
        </row>
        <row r="596">
          <cell r="B596" t="str">
            <v>Total Cash Payments from Partnership, $000s</v>
          </cell>
        </row>
        <row r="609">
          <cell r="B609" t="str">
            <v>Total Federal &amp; State Tax Benefit/(Expense), $000s</v>
          </cell>
        </row>
        <row r="635">
          <cell r="B635" t="str">
            <v>Net Cash Flow After Tax, $000s</v>
          </cell>
        </row>
      </sheetData>
      <sheetData sheetId="11"/>
      <sheetData sheetId="12"/>
      <sheetData sheetId="13">
        <row r="13">
          <cell r="B13">
            <v>41214</v>
          </cell>
        </row>
        <row r="14">
          <cell r="B14">
            <v>41244</v>
          </cell>
        </row>
        <row r="15">
          <cell r="B15">
            <v>41275</v>
          </cell>
        </row>
        <row r="16">
          <cell r="B16">
            <v>41306</v>
          </cell>
        </row>
        <row r="17">
          <cell r="B17">
            <v>41334</v>
          </cell>
        </row>
        <row r="18">
          <cell r="B18">
            <v>41365</v>
          </cell>
        </row>
        <row r="19">
          <cell r="B19">
            <v>41395</v>
          </cell>
        </row>
        <row r="20">
          <cell r="B20">
            <v>41426</v>
          </cell>
        </row>
        <row r="21">
          <cell r="B21">
            <v>41456</v>
          </cell>
        </row>
        <row r="22">
          <cell r="B22">
            <v>41487</v>
          </cell>
        </row>
        <row r="23">
          <cell r="B23">
            <v>41518</v>
          </cell>
        </row>
        <row r="24">
          <cell r="B24">
            <v>41548</v>
          </cell>
        </row>
        <row r="25">
          <cell r="B25">
            <v>41579</v>
          </cell>
        </row>
        <row r="26">
          <cell r="B26">
            <v>41609</v>
          </cell>
        </row>
        <row r="27">
          <cell r="B27">
            <v>41640</v>
          </cell>
        </row>
        <row r="28">
          <cell r="B28">
            <v>41671</v>
          </cell>
        </row>
        <row r="29">
          <cell r="B29">
            <v>41699</v>
          </cell>
        </row>
        <row r="30">
          <cell r="B30">
            <v>41730</v>
          </cell>
        </row>
        <row r="31">
          <cell r="B31">
            <v>41760</v>
          </cell>
        </row>
        <row r="32">
          <cell r="B32">
            <v>41791</v>
          </cell>
        </row>
        <row r="33">
          <cell r="B33">
            <v>41821</v>
          </cell>
        </row>
        <row r="34">
          <cell r="B34">
            <v>41852</v>
          </cell>
        </row>
        <row r="35">
          <cell r="B35">
            <v>41883</v>
          </cell>
        </row>
        <row r="36">
          <cell r="B36">
            <v>41913</v>
          </cell>
        </row>
        <row r="37">
          <cell r="B37">
            <v>41944</v>
          </cell>
        </row>
        <row r="38">
          <cell r="B38">
            <v>41974</v>
          </cell>
        </row>
        <row r="39">
          <cell r="B39">
            <v>42005</v>
          </cell>
        </row>
        <row r="40">
          <cell r="B40">
            <v>42036</v>
          </cell>
        </row>
        <row r="41">
          <cell r="B41">
            <v>42064</v>
          </cell>
        </row>
        <row r="42">
          <cell r="B42">
            <v>42095</v>
          </cell>
        </row>
        <row r="43">
          <cell r="B43">
            <v>42125</v>
          </cell>
        </row>
        <row r="44">
          <cell r="B44">
            <v>42156</v>
          </cell>
        </row>
        <row r="45">
          <cell r="B45">
            <v>42186</v>
          </cell>
        </row>
        <row r="46">
          <cell r="B46">
            <v>42217</v>
          </cell>
        </row>
        <row r="47">
          <cell r="B47">
            <v>42248</v>
          </cell>
        </row>
        <row r="48">
          <cell r="B48">
            <v>42278</v>
          </cell>
        </row>
        <row r="49">
          <cell r="B49">
            <v>42309</v>
          </cell>
        </row>
        <row r="50">
          <cell r="B50">
            <v>42339</v>
          </cell>
        </row>
        <row r="51">
          <cell r="B51">
            <v>42370</v>
          </cell>
        </row>
        <row r="52">
          <cell r="B52">
            <v>42401</v>
          </cell>
        </row>
        <row r="53">
          <cell r="B53">
            <v>42430</v>
          </cell>
        </row>
        <row r="54">
          <cell r="B54">
            <v>42461</v>
          </cell>
        </row>
        <row r="55">
          <cell r="B55">
            <v>42491</v>
          </cell>
        </row>
        <row r="56">
          <cell r="B56">
            <v>42522</v>
          </cell>
        </row>
        <row r="57">
          <cell r="B57">
            <v>42552</v>
          </cell>
        </row>
        <row r="58">
          <cell r="B58">
            <v>42583</v>
          </cell>
        </row>
        <row r="59">
          <cell r="B59">
            <v>42614</v>
          </cell>
        </row>
        <row r="60">
          <cell r="B60">
            <v>42644</v>
          </cell>
        </row>
        <row r="61">
          <cell r="B61">
            <v>42675</v>
          </cell>
        </row>
        <row r="62">
          <cell r="B62">
            <v>42705</v>
          </cell>
        </row>
        <row r="63">
          <cell r="B63">
            <v>42736</v>
          </cell>
        </row>
        <row r="64">
          <cell r="B64">
            <v>42767</v>
          </cell>
        </row>
        <row r="65">
          <cell r="B65">
            <v>42795</v>
          </cell>
        </row>
        <row r="66">
          <cell r="B66">
            <v>42826</v>
          </cell>
        </row>
        <row r="67">
          <cell r="B67">
            <v>42856</v>
          </cell>
        </row>
        <row r="68">
          <cell r="B68">
            <v>42887</v>
          </cell>
        </row>
        <row r="69">
          <cell r="B69">
            <v>42917</v>
          </cell>
        </row>
        <row r="70">
          <cell r="B70">
            <v>42948</v>
          </cell>
        </row>
        <row r="71">
          <cell r="B71">
            <v>42979</v>
          </cell>
        </row>
        <row r="72">
          <cell r="B72">
            <v>43009</v>
          </cell>
        </row>
        <row r="73">
          <cell r="B73">
            <v>43040</v>
          </cell>
        </row>
        <row r="74">
          <cell r="B74">
            <v>43070</v>
          </cell>
        </row>
        <row r="75">
          <cell r="B75">
            <v>43101</v>
          </cell>
        </row>
        <row r="76">
          <cell r="B76">
            <v>43132</v>
          </cell>
        </row>
        <row r="77">
          <cell r="B77">
            <v>43160</v>
          </cell>
        </row>
        <row r="78">
          <cell r="B78">
            <v>43191</v>
          </cell>
        </row>
        <row r="79">
          <cell r="B79">
            <v>43221</v>
          </cell>
        </row>
        <row r="80">
          <cell r="B80">
            <v>43252</v>
          </cell>
        </row>
        <row r="81">
          <cell r="B81">
            <v>43282</v>
          </cell>
        </row>
        <row r="82">
          <cell r="B82">
            <v>43313</v>
          </cell>
        </row>
        <row r="83">
          <cell r="B83">
            <v>43344</v>
          </cell>
        </row>
        <row r="84">
          <cell r="B84">
            <v>43374</v>
          </cell>
        </row>
        <row r="85">
          <cell r="B85">
            <v>43405</v>
          </cell>
        </row>
        <row r="86">
          <cell r="B86">
            <v>43435</v>
          </cell>
        </row>
        <row r="87">
          <cell r="B87">
            <v>43466</v>
          </cell>
        </row>
        <row r="88">
          <cell r="B88">
            <v>43497</v>
          </cell>
        </row>
        <row r="89">
          <cell r="B89">
            <v>43525</v>
          </cell>
        </row>
        <row r="90">
          <cell r="B90">
            <v>43556</v>
          </cell>
        </row>
        <row r="91">
          <cell r="B91">
            <v>43586</v>
          </cell>
        </row>
        <row r="92">
          <cell r="B92">
            <v>43617</v>
          </cell>
        </row>
        <row r="93">
          <cell r="B93">
            <v>43647</v>
          </cell>
        </row>
        <row r="94">
          <cell r="B94">
            <v>43678</v>
          </cell>
        </row>
        <row r="95">
          <cell r="B95">
            <v>43709</v>
          </cell>
        </row>
        <row r="96">
          <cell r="B96">
            <v>43739</v>
          </cell>
        </row>
        <row r="97">
          <cell r="B97">
            <v>43770</v>
          </cell>
        </row>
        <row r="98">
          <cell r="B98">
            <v>43800</v>
          </cell>
        </row>
        <row r="99">
          <cell r="B99">
            <v>43831</v>
          </cell>
        </row>
        <row r="100">
          <cell r="B100">
            <v>43862</v>
          </cell>
        </row>
        <row r="101">
          <cell r="B101">
            <v>43891</v>
          </cell>
        </row>
        <row r="102">
          <cell r="B102">
            <v>43922</v>
          </cell>
        </row>
        <row r="103">
          <cell r="B103">
            <v>43952</v>
          </cell>
        </row>
        <row r="104">
          <cell r="B104">
            <v>43983</v>
          </cell>
        </row>
        <row r="105">
          <cell r="B105">
            <v>44013</v>
          </cell>
        </row>
        <row r="106">
          <cell r="B106">
            <v>44044</v>
          </cell>
        </row>
        <row r="107">
          <cell r="B107">
            <v>44075</v>
          </cell>
        </row>
        <row r="108">
          <cell r="B108">
            <v>44105</v>
          </cell>
        </row>
        <row r="109">
          <cell r="B109">
            <v>44136</v>
          </cell>
        </row>
        <row r="110">
          <cell r="B110">
            <v>44166</v>
          </cell>
        </row>
        <row r="111">
          <cell r="B111">
            <v>44197</v>
          </cell>
        </row>
        <row r="112">
          <cell r="B112">
            <v>44228</v>
          </cell>
        </row>
        <row r="113">
          <cell r="B113">
            <v>44256</v>
          </cell>
        </row>
        <row r="114">
          <cell r="B114">
            <v>44287</v>
          </cell>
        </row>
        <row r="115">
          <cell r="B115">
            <v>44317</v>
          </cell>
        </row>
        <row r="116">
          <cell r="B116">
            <v>44348</v>
          </cell>
        </row>
        <row r="117">
          <cell r="B117">
            <v>44378</v>
          </cell>
        </row>
        <row r="118">
          <cell r="B118">
            <v>44409</v>
          </cell>
        </row>
        <row r="119">
          <cell r="B119">
            <v>44440</v>
          </cell>
        </row>
        <row r="120">
          <cell r="B120">
            <v>44470</v>
          </cell>
        </row>
        <row r="121">
          <cell r="B121">
            <v>44501</v>
          </cell>
        </row>
        <row r="122">
          <cell r="B122">
            <v>44531</v>
          </cell>
        </row>
        <row r="123">
          <cell r="B123">
            <v>44562</v>
          </cell>
        </row>
        <row r="124">
          <cell r="B124">
            <v>44593</v>
          </cell>
        </row>
        <row r="125">
          <cell r="B125">
            <v>44621</v>
          </cell>
        </row>
        <row r="126">
          <cell r="B126">
            <v>44652</v>
          </cell>
        </row>
        <row r="127">
          <cell r="B127">
            <v>44682</v>
          </cell>
        </row>
        <row r="128">
          <cell r="B128">
            <v>44713</v>
          </cell>
        </row>
        <row r="129">
          <cell r="B129">
            <v>44743</v>
          </cell>
        </row>
        <row r="130">
          <cell r="B130">
            <v>44774</v>
          </cell>
        </row>
        <row r="131">
          <cell r="B131">
            <v>44805</v>
          </cell>
        </row>
        <row r="132">
          <cell r="B132">
            <v>44835</v>
          </cell>
        </row>
        <row r="133">
          <cell r="B133">
            <v>44866</v>
          </cell>
        </row>
        <row r="134">
          <cell r="B134">
            <v>44896</v>
          </cell>
        </row>
        <row r="135">
          <cell r="B135">
            <v>44927</v>
          </cell>
        </row>
        <row r="136">
          <cell r="B136">
            <v>44958</v>
          </cell>
        </row>
        <row r="137">
          <cell r="B137">
            <v>44986</v>
          </cell>
        </row>
        <row r="138">
          <cell r="B138">
            <v>45017</v>
          </cell>
        </row>
        <row r="139">
          <cell r="B139">
            <v>45047</v>
          </cell>
        </row>
        <row r="140">
          <cell r="B140">
            <v>45078</v>
          </cell>
        </row>
        <row r="141">
          <cell r="B141">
            <v>45108</v>
          </cell>
        </row>
        <row r="142">
          <cell r="B142">
            <v>45139</v>
          </cell>
        </row>
        <row r="143">
          <cell r="B143">
            <v>45170</v>
          </cell>
        </row>
        <row r="144">
          <cell r="B144">
            <v>45200</v>
          </cell>
        </row>
        <row r="145">
          <cell r="B145">
            <v>45231</v>
          </cell>
        </row>
        <row r="146">
          <cell r="B146">
            <v>45261</v>
          </cell>
        </row>
        <row r="147">
          <cell r="B147">
            <v>45292</v>
          </cell>
        </row>
        <row r="148">
          <cell r="B148">
            <v>45323</v>
          </cell>
        </row>
        <row r="149">
          <cell r="B149">
            <v>45352</v>
          </cell>
        </row>
        <row r="150">
          <cell r="B150">
            <v>45383</v>
          </cell>
        </row>
        <row r="151">
          <cell r="B151">
            <v>45413</v>
          </cell>
        </row>
        <row r="152">
          <cell r="B152">
            <v>45444</v>
          </cell>
        </row>
        <row r="153">
          <cell r="B153">
            <v>45474</v>
          </cell>
        </row>
        <row r="154">
          <cell r="B154">
            <v>45505</v>
          </cell>
        </row>
        <row r="155">
          <cell r="B155">
            <v>45536</v>
          </cell>
        </row>
        <row r="156">
          <cell r="B156">
            <v>45566</v>
          </cell>
        </row>
        <row r="157">
          <cell r="B157">
            <v>45597</v>
          </cell>
        </row>
        <row r="158">
          <cell r="B158">
            <v>45627</v>
          </cell>
        </row>
        <row r="159">
          <cell r="B159">
            <v>45658</v>
          </cell>
        </row>
        <row r="160">
          <cell r="B160">
            <v>45689</v>
          </cell>
        </row>
        <row r="161">
          <cell r="B161">
            <v>45717</v>
          </cell>
        </row>
        <row r="162">
          <cell r="B162">
            <v>45748</v>
          </cell>
        </row>
        <row r="163">
          <cell r="B163">
            <v>45778</v>
          </cell>
        </row>
        <row r="164">
          <cell r="B164">
            <v>45809</v>
          </cell>
        </row>
        <row r="165">
          <cell r="B165">
            <v>45839</v>
          </cell>
        </row>
        <row r="166">
          <cell r="B166">
            <v>45870</v>
          </cell>
        </row>
        <row r="167">
          <cell r="B167">
            <v>45901</v>
          </cell>
        </row>
        <row r="168">
          <cell r="B168">
            <v>45931</v>
          </cell>
        </row>
        <row r="169">
          <cell r="B169">
            <v>45962</v>
          </cell>
        </row>
        <row r="170">
          <cell r="B170">
            <v>45992</v>
          </cell>
        </row>
        <row r="171">
          <cell r="B171">
            <v>46023</v>
          </cell>
        </row>
        <row r="172">
          <cell r="B172">
            <v>46054</v>
          </cell>
        </row>
        <row r="173">
          <cell r="B173">
            <v>46082</v>
          </cell>
        </row>
        <row r="174">
          <cell r="B174">
            <v>46113</v>
          </cell>
        </row>
        <row r="175">
          <cell r="B175">
            <v>46143</v>
          </cell>
        </row>
        <row r="176">
          <cell r="B176">
            <v>46174</v>
          </cell>
        </row>
        <row r="177">
          <cell r="B177">
            <v>46204</v>
          </cell>
        </row>
        <row r="178">
          <cell r="B178">
            <v>46235</v>
          </cell>
        </row>
        <row r="179">
          <cell r="B179">
            <v>46266</v>
          </cell>
        </row>
        <row r="180">
          <cell r="B180">
            <v>46296</v>
          </cell>
        </row>
        <row r="181">
          <cell r="B181">
            <v>46327</v>
          </cell>
        </row>
        <row r="182">
          <cell r="B182">
            <v>46357</v>
          </cell>
        </row>
        <row r="183">
          <cell r="B183">
            <v>46388</v>
          </cell>
        </row>
        <row r="184">
          <cell r="B184">
            <v>46419</v>
          </cell>
        </row>
        <row r="185">
          <cell r="B185">
            <v>46447</v>
          </cell>
        </row>
        <row r="186">
          <cell r="B186">
            <v>46478</v>
          </cell>
        </row>
        <row r="187">
          <cell r="B187">
            <v>46508</v>
          </cell>
        </row>
        <row r="188">
          <cell r="B188">
            <v>46539</v>
          </cell>
        </row>
        <row r="189">
          <cell r="B189">
            <v>46569</v>
          </cell>
        </row>
        <row r="190">
          <cell r="B190">
            <v>46600</v>
          </cell>
        </row>
        <row r="191">
          <cell r="B191">
            <v>46631</v>
          </cell>
        </row>
        <row r="192">
          <cell r="B192">
            <v>46661</v>
          </cell>
        </row>
        <row r="193">
          <cell r="B193">
            <v>46692</v>
          </cell>
        </row>
        <row r="194">
          <cell r="B194">
            <v>46722</v>
          </cell>
        </row>
        <row r="195">
          <cell r="B195">
            <v>46753</v>
          </cell>
        </row>
        <row r="196">
          <cell r="B196">
            <v>46784</v>
          </cell>
        </row>
        <row r="197">
          <cell r="B197">
            <v>46813</v>
          </cell>
        </row>
        <row r="198">
          <cell r="B198">
            <v>46844</v>
          </cell>
        </row>
        <row r="199">
          <cell r="B199">
            <v>46874</v>
          </cell>
        </row>
        <row r="200">
          <cell r="B200">
            <v>46905</v>
          </cell>
        </row>
        <row r="201">
          <cell r="B201">
            <v>46935</v>
          </cell>
        </row>
        <row r="202">
          <cell r="B202">
            <v>46966</v>
          </cell>
        </row>
        <row r="203">
          <cell r="B203">
            <v>46997</v>
          </cell>
        </row>
        <row r="204">
          <cell r="B204">
            <v>47027</v>
          </cell>
        </row>
        <row r="205">
          <cell r="B205">
            <v>47058</v>
          </cell>
        </row>
        <row r="206">
          <cell r="B206">
            <v>47088</v>
          </cell>
        </row>
        <row r="207">
          <cell r="B207">
            <v>47119</v>
          </cell>
        </row>
        <row r="208">
          <cell r="B208">
            <v>47150</v>
          </cell>
        </row>
        <row r="209">
          <cell r="B209">
            <v>47178</v>
          </cell>
        </row>
        <row r="210">
          <cell r="B210">
            <v>47209</v>
          </cell>
        </row>
        <row r="211">
          <cell r="B211">
            <v>47239</v>
          </cell>
        </row>
        <row r="212">
          <cell r="B212">
            <v>47270</v>
          </cell>
        </row>
        <row r="213">
          <cell r="B213">
            <v>47300</v>
          </cell>
        </row>
        <row r="214">
          <cell r="B214">
            <v>47331</v>
          </cell>
        </row>
        <row r="215">
          <cell r="B215">
            <v>47362</v>
          </cell>
        </row>
        <row r="216">
          <cell r="B216">
            <v>47392</v>
          </cell>
        </row>
        <row r="217">
          <cell r="B217">
            <v>47423</v>
          </cell>
        </row>
        <row r="218">
          <cell r="B218">
            <v>47453</v>
          </cell>
        </row>
        <row r="219">
          <cell r="B219">
            <v>47484</v>
          </cell>
        </row>
        <row r="220">
          <cell r="B220">
            <v>47515</v>
          </cell>
        </row>
        <row r="221">
          <cell r="B221">
            <v>47543</v>
          </cell>
        </row>
        <row r="222">
          <cell r="B222">
            <v>47574</v>
          </cell>
        </row>
        <row r="223">
          <cell r="B223">
            <v>47604</v>
          </cell>
        </row>
        <row r="224">
          <cell r="B224">
            <v>47635</v>
          </cell>
        </row>
        <row r="225">
          <cell r="B225">
            <v>47665</v>
          </cell>
        </row>
        <row r="226">
          <cell r="B226">
            <v>47696</v>
          </cell>
        </row>
        <row r="227">
          <cell r="B227">
            <v>47727</v>
          </cell>
        </row>
        <row r="228">
          <cell r="B228">
            <v>47757</v>
          </cell>
        </row>
        <row r="229">
          <cell r="B229">
            <v>47788</v>
          </cell>
        </row>
        <row r="230">
          <cell r="B230">
            <v>47818</v>
          </cell>
        </row>
        <row r="231">
          <cell r="B231">
            <v>47849</v>
          </cell>
        </row>
        <row r="232">
          <cell r="B232">
            <v>47880</v>
          </cell>
        </row>
        <row r="233">
          <cell r="B233">
            <v>47908</v>
          </cell>
        </row>
        <row r="234">
          <cell r="B234">
            <v>47939</v>
          </cell>
        </row>
        <row r="235">
          <cell r="B235">
            <v>47969</v>
          </cell>
        </row>
        <row r="236">
          <cell r="B236">
            <v>48000</v>
          </cell>
        </row>
        <row r="237">
          <cell r="B237">
            <v>48030</v>
          </cell>
        </row>
        <row r="238">
          <cell r="B238">
            <v>48061</v>
          </cell>
        </row>
        <row r="239">
          <cell r="B239">
            <v>48092</v>
          </cell>
        </row>
        <row r="240">
          <cell r="B240">
            <v>48122</v>
          </cell>
        </row>
        <row r="241">
          <cell r="B241">
            <v>48153</v>
          </cell>
        </row>
        <row r="242">
          <cell r="B242">
            <v>48183</v>
          </cell>
        </row>
        <row r="243">
          <cell r="B243">
            <v>48214</v>
          </cell>
        </row>
        <row r="244">
          <cell r="B244">
            <v>48245</v>
          </cell>
        </row>
        <row r="245">
          <cell r="B245">
            <v>48274</v>
          </cell>
        </row>
        <row r="246">
          <cell r="B246">
            <v>48305</v>
          </cell>
        </row>
        <row r="247">
          <cell r="B247">
            <v>48335</v>
          </cell>
        </row>
        <row r="248">
          <cell r="B248">
            <v>48366</v>
          </cell>
        </row>
        <row r="249">
          <cell r="B249">
            <v>48396</v>
          </cell>
        </row>
        <row r="250">
          <cell r="B250">
            <v>48427</v>
          </cell>
        </row>
        <row r="251">
          <cell r="B251">
            <v>48458</v>
          </cell>
        </row>
        <row r="252">
          <cell r="B252">
            <v>48488</v>
          </cell>
        </row>
      </sheetData>
      <sheetData sheetId="14">
        <row r="14">
          <cell r="G14">
            <v>0.94</v>
          </cell>
        </row>
      </sheetData>
      <sheetData sheetId="15"/>
      <sheetData sheetId="16">
        <row r="11">
          <cell r="BC11" t="str">
            <v>Depreciation</v>
          </cell>
        </row>
      </sheetData>
      <sheetData sheetId="17"/>
      <sheetData sheetId="18"/>
      <sheetData sheetId="19">
        <row r="11">
          <cell r="BT11" t="str">
            <v>Depreciation</v>
          </cell>
        </row>
      </sheetData>
      <sheetData sheetId="20"/>
      <sheetData sheetId="21"/>
      <sheetData sheetId="22">
        <row r="3">
          <cell r="A3">
            <v>1</v>
          </cell>
        </row>
        <row r="4">
          <cell r="A4">
            <v>1</v>
          </cell>
        </row>
        <row r="5">
          <cell r="A5">
            <v>1</v>
          </cell>
        </row>
        <row r="6">
          <cell r="A6">
            <v>1</v>
          </cell>
        </row>
        <row r="7">
          <cell r="A7">
            <v>1</v>
          </cell>
        </row>
        <row r="8">
          <cell r="A8">
            <v>1</v>
          </cell>
        </row>
        <row r="9">
          <cell r="A9">
            <v>1</v>
          </cell>
        </row>
        <row r="10">
          <cell r="A10">
            <v>1</v>
          </cell>
        </row>
        <row r="11">
          <cell r="A11">
            <v>1</v>
          </cell>
        </row>
        <row r="169">
          <cell r="A169">
            <v>-1</v>
          </cell>
        </row>
        <row r="170">
          <cell r="A170">
            <v>-1</v>
          </cell>
        </row>
        <row r="171">
          <cell r="A171">
            <v>-1</v>
          </cell>
        </row>
        <row r="172">
          <cell r="A172">
            <v>-1</v>
          </cell>
        </row>
        <row r="173">
          <cell r="A173">
            <v>-1</v>
          </cell>
        </row>
        <row r="174">
          <cell r="A174">
            <v>-1</v>
          </cell>
        </row>
        <row r="175">
          <cell r="A175">
            <v>-1</v>
          </cell>
        </row>
        <row r="176">
          <cell r="A176">
            <v>-1</v>
          </cell>
        </row>
        <row r="177">
          <cell r="A177">
            <v>-1</v>
          </cell>
        </row>
        <row r="178">
          <cell r="A178">
            <v>-1</v>
          </cell>
        </row>
        <row r="179">
          <cell r="A179">
            <v>-1</v>
          </cell>
        </row>
        <row r="180">
          <cell r="A180">
            <v>-1</v>
          </cell>
        </row>
        <row r="181">
          <cell r="A181">
            <v>-1</v>
          </cell>
        </row>
        <row r="182">
          <cell r="A182">
            <v>-1</v>
          </cell>
        </row>
        <row r="189">
          <cell r="A189">
            <v>0</v>
          </cell>
        </row>
        <row r="194">
          <cell r="A194">
            <v>1</v>
          </cell>
        </row>
        <row r="195">
          <cell r="A195">
            <v>1</v>
          </cell>
        </row>
        <row r="221">
          <cell r="A221">
            <v>1</v>
          </cell>
        </row>
        <row r="222">
          <cell r="A222">
            <v>1</v>
          </cell>
        </row>
        <row r="223">
          <cell r="A223">
            <v>2</v>
          </cell>
        </row>
        <row r="224">
          <cell r="A224">
            <v>2</v>
          </cell>
        </row>
        <row r="225">
          <cell r="A225">
            <v>1</v>
          </cell>
        </row>
        <row r="226">
          <cell r="A226">
            <v>1</v>
          </cell>
        </row>
        <row r="227">
          <cell r="A227">
            <v>1</v>
          </cell>
        </row>
        <row r="228">
          <cell r="A228">
            <v>-1</v>
          </cell>
        </row>
        <row r="229">
          <cell r="A229">
            <v>-1</v>
          </cell>
        </row>
        <row r="230">
          <cell r="A230">
            <v>-1</v>
          </cell>
        </row>
        <row r="231">
          <cell r="A231">
            <v>-1</v>
          </cell>
        </row>
        <row r="232">
          <cell r="A232">
            <v>1</v>
          </cell>
        </row>
        <row r="233">
          <cell r="A233">
            <v>1</v>
          </cell>
        </row>
        <row r="239">
          <cell r="A239">
            <v>1</v>
          </cell>
        </row>
        <row r="240">
          <cell r="A240">
            <v>-1</v>
          </cell>
        </row>
        <row r="241">
          <cell r="A241">
            <v>-1</v>
          </cell>
        </row>
        <row r="242">
          <cell r="A242">
            <v>1</v>
          </cell>
        </row>
        <row r="243">
          <cell r="A243">
            <v>1</v>
          </cell>
        </row>
        <row r="244">
          <cell r="A244">
            <v>1</v>
          </cell>
        </row>
        <row r="245">
          <cell r="A245">
            <v>1</v>
          </cell>
        </row>
        <row r="246">
          <cell r="A246">
            <v>-1</v>
          </cell>
        </row>
        <row r="247">
          <cell r="A247">
            <v>-1</v>
          </cell>
        </row>
        <row r="248">
          <cell r="A248">
            <v>1</v>
          </cell>
        </row>
        <row r="249">
          <cell r="A249">
            <v>1</v>
          </cell>
        </row>
        <row r="250">
          <cell r="A250">
            <v>-1</v>
          </cell>
        </row>
        <row r="251">
          <cell r="A251">
            <v>-1</v>
          </cell>
        </row>
        <row r="252">
          <cell r="A252">
            <v>-1</v>
          </cell>
        </row>
        <row r="253">
          <cell r="A253">
            <v>-1</v>
          </cell>
        </row>
        <row r="254">
          <cell r="A254">
            <v>-1</v>
          </cell>
        </row>
        <row r="255">
          <cell r="A255">
            <v>-1</v>
          </cell>
        </row>
        <row r="256">
          <cell r="A256">
            <v>-1</v>
          </cell>
        </row>
        <row r="257">
          <cell r="A257">
            <v>-1</v>
          </cell>
        </row>
        <row r="258">
          <cell r="A258">
            <v>-1</v>
          </cell>
        </row>
        <row r="259">
          <cell r="A259">
            <v>-1</v>
          </cell>
        </row>
        <row r="403">
          <cell r="A403">
            <v>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3">
          <cell r="C3" t="str">
            <v>Q:\CORP6\FA&amp;P\Renewable Projects\NaturEner\309Mw 051810\[EconExpert-Wind 7056.3 ob RIMROCK 23.xls</v>
          </cell>
        </row>
        <row r="4">
          <cell r="B4" t="str">
            <v>C:\Users\Bill Fisher\Desktop\CURRENT CONSULTNG\SDG&amp;E\6-22-2010\[EconExpert-Wind 7056.3 ob RIMROCK 23.xls]Table 13 Depreciation</v>
          </cell>
        </row>
        <row r="128">
          <cell r="D128">
            <v>41214</v>
          </cell>
          <cell r="E128">
            <v>39783</v>
          </cell>
          <cell r="F128">
            <v>40148</v>
          </cell>
          <cell r="G128">
            <v>40513</v>
          </cell>
          <cell r="H128">
            <v>40878</v>
          </cell>
          <cell r="I128">
            <v>41214</v>
          </cell>
          <cell r="J128">
            <v>41214</v>
          </cell>
          <cell r="K128">
            <v>41214</v>
          </cell>
          <cell r="L128">
            <v>41244</v>
          </cell>
          <cell r="M128">
            <v>41456</v>
          </cell>
          <cell r="N128">
            <v>41821</v>
          </cell>
          <cell r="O128">
            <v>42186</v>
          </cell>
          <cell r="P128">
            <v>42552</v>
          </cell>
          <cell r="Q128">
            <v>42917</v>
          </cell>
          <cell r="R128">
            <v>43282</v>
          </cell>
          <cell r="S128">
            <v>43647</v>
          </cell>
          <cell r="T128">
            <v>44013</v>
          </cell>
          <cell r="U128">
            <v>44378</v>
          </cell>
          <cell r="V128">
            <v>44743</v>
          </cell>
          <cell r="W128">
            <v>45108</v>
          </cell>
          <cell r="X128">
            <v>45474</v>
          </cell>
          <cell r="Y128">
            <v>45839</v>
          </cell>
          <cell r="Z128">
            <v>46204</v>
          </cell>
          <cell r="AA128">
            <v>46569</v>
          </cell>
          <cell r="AB128">
            <v>46935</v>
          </cell>
          <cell r="AC128">
            <v>47300</v>
          </cell>
          <cell r="AD128">
            <v>47665</v>
          </cell>
          <cell r="AE128">
            <v>48030</v>
          </cell>
          <cell r="AF128">
            <v>48335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-377227.00476606289</v>
          </cell>
        </row>
        <row r="144">
          <cell r="J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-377227.00476606289</v>
          </cell>
          <cell r="J145">
            <v>0</v>
          </cell>
        </row>
        <row r="146">
          <cell r="L146">
            <v>4405.6563120954797</v>
          </cell>
          <cell r="M146">
            <v>26776.403780872977</v>
          </cell>
          <cell r="N146">
            <v>28104.598383531247</v>
          </cell>
          <cell r="O146">
            <v>27880.550764603373</v>
          </cell>
          <cell r="P146">
            <v>27501.715442585504</v>
          </cell>
          <cell r="Q146">
            <v>26610.784844874426</v>
          </cell>
          <cell r="R146">
            <v>25674.641221220598</v>
          </cell>
          <cell r="S146">
            <v>24723.391255672614</v>
          </cell>
          <cell r="T146">
            <v>23971.440117118938</v>
          </cell>
          <cell r="U146">
            <v>23266.138663260193</v>
          </cell>
          <cell r="V146">
            <v>25855.993797248513</v>
          </cell>
          <cell r="W146">
            <v>39916.635854411681</v>
          </cell>
          <cell r="X146">
            <v>39877.828315987659</v>
          </cell>
          <cell r="Y146">
            <v>40944.020997652558</v>
          </cell>
          <cell r="Z146">
            <v>41624.44787529781</v>
          </cell>
          <cell r="AA146">
            <v>42205.176895558732</v>
          </cell>
          <cell r="AB146">
            <v>42763.067185474407</v>
          </cell>
          <cell r="AC146">
            <v>43220.253125507807</v>
          </cell>
          <cell r="AD146">
            <v>43501.440707236652</v>
          </cell>
          <cell r="AE146">
            <v>43777.410097166037</v>
          </cell>
          <cell r="AF146">
            <v>77990.33695109206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54"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</sheetData>
      <sheetData sheetId="3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_A1.2_General Info"/>
    </sheetNames>
    <sheetDataSet>
      <sheetData sheetId="0" refreshError="1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s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ea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cial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iver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"/>
    </sheetNames>
    <sheetDataSet>
      <sheetData sheetId="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M"/>
      <sheetName val="Drop Down List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ivers"/>
      <sheetName val="Projections"/>
      <sheetName val="Macro"/>
      <sheetName val="MAIN"/>
      <sheetName val="Valuation"/>
      <sheetName val="US$"/>
      <sheetName val="Ajustes"/>
      <sheetName val="DIV INC"/>
      <sheetName val="Developer Notes"/>
      <sheetName val="LTM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  <sheetName val="Dispatch"/>
      <sheetName val="IRD_Chile_ABR2002"/>
      <sheetName val="Btu&lt;=&gt;Therms&lt;=&gt;C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461">
          <cell r="G461">
            <v>0</v>
          </cell>
          <cell r="H461">
            <v>0</v>
          </cell>
          <cell r="I461">
            <v>33480.398999999998</v>
          </cell>
          <cell r="J461">
            <v>34821.898000000001</v>
          </cell>
          <cell r="L461">
            <v>0</v>
          </cell>
          <cell r="M461">
            <v>33480.398999999998</v>
          </cell>
          <cell r="N461">
            <v>34821.898000000001</v>
          </cell>
        </row>
        <row r="463">
          <cell r="G463">
            <v>0</v>
          </cell>
          <cell r="H463">
            <v>0</v>
          </cell>
          <cell r="I463">
            <v>21802.706999999999</v>
          </cell>
          <cell r="J463">
            <v>23807.432000000001</v>
          </cell>
          <cell r="L463">
            <v>0</v>
          </cell>
          <cell r="M463">
            <v>21802.706999999999</v>
          </cell>
          <cell r="N463">
            <v>23807.432000000001</v>
          </cell>
        </row>
        <row r="464"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L464">
            <v>0</v>
          </cell>
          <cell r="M464">
            <v>0</v>
          </cell>
          <cell r="N464">
            <v>0</v>
          </cell>
        </row>
        <row r="465">
          <cell r="G465" t="str">
            <v>______</v>
          </cell>
          <cell r="H465" t="str">
            <v>______</v>
          </cell>
          <cell r="I465" t="str">
            <v>______</v>
          </cell>
          <cell r="J465" t="str">
            <v>______</v>
          </cell>
          <cell r="L465" t="str">
            <v>______</v>
          </cell>
          <cell r="M465" t="str">
            <v>______</v>
          </cell>
          <cell r="N465" t="str">
            <v>______</v>
          </cell>
        </row>
        <row r="466">
          <cell r="G466">
            <v>0</v>
          </cell>
          <cell r="H466">
            <v>0</v>
          </cell>
          <cell r="I466">
            <v>11677.691999999999</v>
          </cell>
          <cell r="J466">
            <v>11014.466</v>
          </cell>
          <cell r="L466">
            <v>0</v>
          </cell>
          <cell r="M466">
            <v>11677.691999999999</v>
          </cell>
          <cell r="N466">
            <v>11014.466</v>
          </cell>
        </row>
        <row r="468">
          <cell r="G468">
            <v>0</v>
          </cell>
          <cell r="H468">
            <v>0</v>
          </cell>
          <cell r="I468">
            <v>1181.8440000000001</v>
          </cell>
          <cell r="J468">
            <v>1328.3879999999999</v>
          </cell>
          <cell r="L468">
            <v>0</v>
          </cell>
          <cell r="M468">
            <v>1181.8440000000001</v>
          </cell>
          <cell r="N468">
            <v>1328.3879999999999</v>
          </cell>
        </row>
        <row r="469"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L469">
            <v>0</v>
          </cell>
          <cell r="M469">
            <v>0</v>
          </cell>
          <cell r="N469">
            <v>0</v>
          </cell>
        </row>
        <row r="470">
          <cell r="G470" t="str">
            <v>______</v>
          </cell>
          <cell r="H470" t="str">
            <v>______</v>
          </cell>
          <cell r="I470" t="str">
            <v>______</v>
          </cell>
          <cell r="J470" t="str">
            <v>______</v>
          </cell>
          <cell r="L470" t="str">
            <v>______</v>
          </cell>
          <cell r="M470" t="str">
            <v>______</v>
          </cell>
          <cell r="N470" t="str">
            <v>______</v>
          </cell>
        </row>
        <row r="471">
          <cell r="G471">
            <v>0</v>
          </cell>
          <cell r="H471">
            <v>0</v>
          </cell>
          <cell r="I471">
            <v>10495.847999999998</v>
          </cell>
          <cell r="J471">
            <v>9686.0780000000013</v>
          </cell>
          <cell r="L471">
            <v>0</v>
          </cell>
          <cell r="M471">
            <v>10495.847999999998</v>
          </cell>
          <cell r="N471">
            <v>9686.0780000000013</v>
          </cell>
        </row>
        <row r="473"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L473">
            <v>0</v>
          </cell>
          <cell r="M473">
            <v>0</v>
          </cell>
          <cell r="N473">
            <v>0</v>
          </cell>
        </row>
        <row r="474"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L474">
            <v>0</v>
          </cell>
          <cell r="M474">
            <v>0</v>
          </cell>
          <cell r="N474">
            <v>0</v>
          </cell>
        </row>
        <row r="475"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L475">
            <v>0</v>
          </cell>
          <cell r="M475">
            <v>0</v>
          </cell>
          <cell r="N475">
            <v>0</v>
          </cell>
        </row>
        <row r="477">
          <cell r="G477">
            <v>0</v>
          </cell>
          <cell r="H477">
            <v>0</v>
          </cell>
          <cell r="I477">
            <v>10495.847999999998</v>
          </cell>
          <cell r="J477">
            <v>9686.0780000000013</v>
          </cell>
          <cell r="L477">
            <v>0</v>
          </cell>
          <cell r="M477">
            <v>10495.847999999998</v>
          </cell>
          <cell r="N477">
            <v>9686.0780000000013</v>
          </cell>
        </row>
        <row r="480">
          <cell r="G480">
            <v>0</v>
          </cell>
          <cell r="H480">
            <v>0</v>
          </cell>
          <cell r="I480">
            <v>1398.5070000000001</v>
          </cell>
          <cell r="J480">
            <v>1452.394</v>
          </cell>
          <cell r="L480">
            <v>0</v>
          </cell>
          <cell r="M480">
            <v>1398.5070000000001</v>
          </cell>
          <cell r="N480">
            <v>1452.394</v>
          </cell>
        </row>
        <row r="481">
          <cell r="G481" t="str">
            <v>______</v>
          </cell>
          <cell r="H481" t="str">
            <v>______</v>
          </cell>
          <cell r="I481" t="str">
            <v>______</v>
          </cell>
          <cell r="J481" t="str">
            <v>______</v>
          </cell>
          <cell r="L481" t="str">
            <v>______</v>
          </cell>
          <cell r="M481" t="str">
            <v>______</v>
          </cell>
          <cell r="N481" t="str">
            <v>______</v>
          </cell>
        </row>
        <row r="482">
          <cell r="G482">
            <v>0</v>
          </cell>
          <cell r="H482">
            <v>0</v>
          </cell>
          <cell r="I482">
            <v>9097.3409999999985</v>
          </cell>
          <cell r="J482">
            <v>8233.6840000000011</v>
          </cell>
          <cell r="L482">
            <v>0</v>
          </cell>
          <cell r="M482">
            <v>9097.3409999999985</v>
          </cell>
          <cell r="N482">
            <v>8233.6840000000011</v>
          </cell>
        </row>
        <row r="484"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L484">
            <v>0</v>
          </cell>
          <cell r="M484">
            <v>0</v>
          </cell>
          <cell r="N484">
            <v>0</v>
          </cell>
        </row>
        <row r="485">
          <cell r="G485">
            <v>0</v>
          </cell>
          <cell r="H485">
            <v>0</v>
          </cell>
          <cell r="I485">
            <v>108.267</v>
          </cell>
          <cell r="J485">
            <v>111.08199999999999</v>
          </cell>
          <cell r="L485">
            <v>0</v>
          </cell>
          <cell r="M485">
            <v>108.267</v>
          </cell>
          <cell r="N485">
            <v>111.08199999999999</v>
          </cell>
        </row>
        <row r="486">
          <cell r="G486" t="str">
            <v>______</v>
          </cell>
          <cell r="H486" t="str">
            <v>______</v>
          </cell>
          <cell r="I486" t="str">
            <v>______</v>
          </cell>
          <cell r="J486" t="str">
            <v>______</v>
          </cell>
          <cell r="L486" t="str">
            <v>______</v>
          </cell>
          <cell r="M486" t="str">
            <v>______</v>
          </cell>
          <cell r="N486" t="str">
            <v>______</v>
          </cell>
        </row>
        <row r="487">
          <cell r="G487">
            <v>0</v>
          </cell>
          <cell r="H487">
            <v>0</v>
          </cell>
          <cell r="I487">
            <v>8989.0739999999987</v>
          </cell>
          <cell r="J487">
            <v>8122.6020000000008</v>
          </cell>
          <cell r="L487">
            <v>0</v>
          </cell>
          <cell r="M487">
            <v>8989.0739999999987</v>
          </cell>
          <cell r="N487">
            <v>8122.6020000000008</v>
          </cell>
        </row>
        <row r="490">
          <cell r="G490">
            <v>0</v>
          </cell>
          <cell r="H490">
            <v>0</v>
          </cell>
          <cell r="I490">
            <v>1522.14</v>
          </cell>
          <cell r="J490">
            <v>3232.6390000000001</v>
          </cell>
          <cell r="L490">
            <v>0</v>
          </cell>
          <cell r="M490">
            <v>1522.14</v>
          </cell>
          <cell r="N490">
            <v>3232.6390000000001</v>
          </cell>
        </row>
        <row r="510">
          <cell r="G510" t="str">
            <v>______</v>
          </cell>
          <cell r="H510" t="str">
            <v>______</v>
          </cell>
          <cell r="I510" t="str">
            <v>______</v>
          </cell>
          <cell r="J510" t="str">
            <v>______</v>
          </cell>
          <cell r="L510" t="str">
            <v>______</v>
          </cell>
          <cell r="M510" t="str">
            <v>______</v>
          </cell>
          <cell r="N510" t="str">
            <v>______</v>
          </cell>
        </row>
        <row r="511">
          <cell r="G511">
            <v>0</v>
          </cell>
          <cell r="H511">
            <v>0</v>
          </cell>
          <cell r="I511">
            <v>1522.14</v>
          </cell>
          <cell r="J511">
            <v>3232.6390000000001</v>
          </cell>
          <cell r="L511">
            <v>0</v>
          </cell>
          <cell r="M511">
            <v>1522.14</v>
          </cell>
          <cell r="N511">
            <v>3232.6390000000001</v>
          </cell>
        </row>
        <row r="512">
          <cell r="G512">
            <v>0</v>
          </cell>
          <cell r="H512">
            <v>0</v>
          </cell>
          <cell r="I512">
            <v>1522.14</v>
          </cell>
          <cell r="J512">
            <v>3232.6390000000001</v>
          </cell>
          <cell r="L512">
            <v>0</v>
          </cell>
          <cell r="M512">
            <v>1522.14</v>
          </cell>
          <cell r="N512">
            <v>3232.6390000000001</v>
          </cell>
        </row>
        <row r="514">
          <cell r="G514">
            <v>0</v>
          </cell>
          <cell r="H514">
            <v>0</v>
          </cell>
          <cell r="I514">
            <v>389.32600000000002</v>
          </cell>
          <cell r="J514">
            <v>49.253999999999998</v>
          </cell>
          <cell r="L514">
            <v>0</v>
          </cell>
          <cell r="M514">
            <v>389.32600000000002</v>
          </cell>
          <cell r="N514">
            <v>49.253999999999998</v>
          </cell>
        </row>
        <row r="515">
          <cell r="G515">
            <v>0</v>
          </cell>
          <cell r="H515">
            <v>0</v>
          </cell>
          <cell r="I515">
            <v>2766.8510000000001</v>
          </cell>
          <cell r="J515">
            <v>3414.6979999999999</v>
          </cell>
          <cell r="L515">
            <v>0</v>
          </cell>
          <cell r="M515">
            <v>2766.8510000000001</v>
          </cell>
          <cell r="N515">
            <v>3414.6979999999999</v>
          </cell>
        </row>
        <row r="516">
          <cell r="G516">
            <v>0</v>
          </cell>
          <cell r="H516">
            <v>0</v>
          </cell>
          <cell r="I516">
            <v>-371.13499999999999</v>
          </cell>
          <cell r="J516">
            <v>-423.15300000000002</v>
          </cell>
          <cell r="L516">
            <v>0</v>
          </cell>
          <cell r="M516">
            <v>-371.13499999999999</v>
          </cell>
          <cell r="N516">
            <v>-423.15300000000002</v>
          </cell>
        </row>
        <row r="517">
          <cell r="G517">
            <v>0</v>
          </cell>
          <cell r="H517">
            <v>0</v>
          </cell>
          <cell r="I517">
            <v>-244.965</v>
          </cell>
          <cell r="J517">
            <v>-2400.663</v>
          </cell>
          <cell r="L517">
            <v>0</v>
          </cell>
          <cell r="M517">
            <v>-244.965</v>
          </cell>
          <cell r="N517">
            <v>-2400.663</v>
          </cell>
        </row>
        <row r="518"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L518">
            <v>0</v>
          </cell>
          <cell r="M518">
            <v>0</v>
          </cell>
          <cell r="N518">
            <v>0</v>
          </cell>
        </row>
        <row r="519">
          <cell r="G519" t="str">
            <v>______</v>
          </cell>
          <cell r="H519" t="str">
            <v>______</v>
          </cell>
          <cell r="I519" t="str">
            <v>______</v>
          </cell>
          <cell r="J519" t="str">
            <v>______</v>
          </cell>
          <cell r="L519" t="str">
            <v>______</v>
          </cell>
          <cell r="M519" t="str">
            <v>______</v>
          </cell>
          <cell r="N519" t="str">
            <v>______</v>
          </cell>
        </row>
        <row r="520">
          <cell r="G520">
            <v>0</v>
          </cell>
          <cell r="H520">
            <v>0</v>
          </cell>
          <cell r="I520">
            <v>10007.010999999999</v>
          </cell>
          <cell r="J520">
            <v>5530.0990000000002</v>
          </cell>
          <cell r="L520">
            <v>0</v>
          </cell>
          <cell r="M520">
            <v>10007.010999999999</v>
          </cell>
          <cell r="N520">
            <v>5530.0990000000002</v>
          </cell>
        </row>
        <row r="522">
          <cell r="G522">
            <v>1996</v>
          </cell>
          <cell r="H522">
            <v>1997</v>
          </cell>
          <cell r="I522">
            <v>1998</v>
          </cell>
          <cell r="J522">
            <v>1999</v>
          </cell>
          <cell r="L522">
            <v>1998</v>
          </cell>
          <cell r="M522">
            <v>1999</v>
          </cell>
          <cell r="N522">
            <v>2000</v>
          </cell>
        </row>
        <row r="525">
          <cell r="G525">
            <v>0</v>
          </cell>
          <cell r="H525">
            <v>0</v>
          </cell>
          <cell r="I525">
            <v>1521.6320000000001</v>
          </cell>
          <cell r="J525">
            <v>1120.03</v>
          </cell>
          <cell r="L525">
            <v>0</v>
          </cell>
          <cell r="M525">
            <v>1521.6320000000001</v>
          </cell>
          <cell r="N525">
            <v>1120.03</v>
          </cell>
        </row>
        <row r="526"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G527" t="str">
            <v>______</v>
          </cell>
          <cell r="H527" t="str">
            <v>______</v>
          </cell>
          <cell r="I527" t="str">
            <v>______</v>
          </cell>
          <cell r="J527" t="str">
            <v>______</v>
          </cell>
          <cell r="L527" t="str">
            <v>______</v>
          </cell>
          <cell r="M527" t="str">
            <v>______</v>
          </cell>
          <cell r="N527" t="str">
            <v>______</v>
          </cell>
        </row>
        <row r="528">
          <cell r="G528">
            <v>0</v>
          </cell>
          <cell r="H528">
            <v>0</v>
          </cell>
          <cell r="I528">
            <v>1521.6320000000001</v>
          </cell>
          <cell r="J528">
            <v>1120.03</v>
          </cell>
          <cell r="L528">
            <v>0</v>
          </cell>
          <cell r="M528">
            <v>1521.6320000000001</v>
          </cell>
          <cell r="N528">
            <v>1120.03</v>
          </cell>
        </row>
        <row r="529">
          <cell r="G529" t="str">
            <v>______</v>
          </cell>
          <cell r="H529" t="str">
            <v>______</v>
          </cell>
          <cell r="I529" t="str">
            <v>______</v>
          </cell>
          <cell r="J529" t="str">
            <v>______</v>
          </cell>
          <cell r="L529" t="str">
            <v>______</v>
          </cell>
          <cell r="M529" t="str">
            <v>______</v>
          </cell>
          <cell r="N529" t="str">
            <v>______</v>
          </cell>
        </row>
        <row r="530">
          <cell r="G530">
            <v>0</v>
          </cell>
          <cell r="H530">
            <v>0</v>
          </cell>
          <cell r="I530">
            <v>8485.378999999999</v>
          </cell>
          <cell r="J530">
            <v>4410.0690000000004</v>
          </cell>
          <cell r="L530">
            <v>0</v>
          </cell>
          <cell r="M530">
            <v>8485.378999999999</v>
          </cell>
          <cell r="N530">
            <v>4410.0690000000004</v>
          </cell>
        </row>
        <row r="532">
          <cell r="G532">
            <v>0</v>
          </cell>
          <cell r="H532">
            <v>0</v>
          </cell>
          <cell r="I532">
            <v>4033.7379999999994</v>
          </cell>
          <cell r="J532">
            <v>7905.8410000000003</v>
          </cell>
          <cell r="L532">
            <v>0</v>
          </cell>
          <cell r="M532">
            <v>4033.7379999999994</v>
          </cell>
          <cell r="N532">
            <v>7905.8410000000003</v>
          </cell>
        </row>
        <row r="533"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L533">
            <v>0</v>
          </cell>
          <cell r="M533">
            <v>0</v>
          </cell>
          <cell r="N533">
            <v>0</v>
          </cell>
        </row>
        <row r="534"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L534">
            <v>0</v>
          </cell>
          <cell r="M534">
            <v>0</v>
          </cell>
          <cell r="N534">
            <v>0</v>
          </cell>
        </row>
        <row r="535">
          <cell r="G535">
            <v>0</v>
          </cell>
          <cell r="H535">
            <v>0</v>
          </cell>
          <cell r="I535">
            <v>37.545999999999999</v>
          </cell>
          <cell r="J535">
            <v>462.97</v>
          </cell>
          <cell r="L535">
            <v>0</v>
          </cell>
          <cell r="M535">
            <v>37.545999999999999</v>
          </cell>
          <cell r="N535">
            <v>462.97</v>
          </cell>
        </row>
        <row r="536"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L536">
            <v>0</v>
          </cell>
          <cell r="M536">
            <v>0</v>
          </cell>
          <cell r="N536">
            <v>0</v>
          </cell>
        </row>
        <row r="537"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L537">
            <v>0</v>
          </cell>
          <cell r="M537">
            <v>0</v>
          </cell>
          <cell r="N537">
            <v>0</v>
          </cell>
        </row>
        <row r="538">
          <cell r="G538" t="str">
            <v>______</v>
          </cell>
          <cell r="H538" t="str">
            <v>______</v>
          </cell>
          <cell r="I538" t="str">
            <v>______</v>
          </cell>
          <cell r="J538" t="str">
            <v>______</v>
          </cell>
          <cell r="L538" t="str">
            <v>______</v>
          </cell>
          <cell r="M538" t="str">
            <v>______</v>
          </cell>
          <cell r="N538" t="str">
            <v>______</v>
          </cell>
        </row>
        <row r="539">
          <cell r="G539">
            <v>0</v>
          </cell>
          <cell r="H539">
            <v>0</v>
          </cell>
          <cell r="I539">
            <v>12556.662999999999</v>
          </cell>
          <cell r="J539">
            <v>12778.880000000001</v>
          </cell>
          <cell r="L539">
            <v>0</v>
          </cell>
          <cell r="M539">
            <v>12556.662999999999</v>
          </cell>
          <cell r="N539">
            <v>12778.880000000001</v>
          </cell>
        </row>
        <row r="548">
          <cell r="G548">
            <v>0</v>
          </cell>
          <cell r="H548">
            <v>0</v>
          </cell>
          <cell r="I548">
            <v>12556.662999999999</v>
          </cell>
          <cell r="J548">
            <v>12778.880000000001</v>
          </cell>
          <cell r="L548">
            <v>0</v>
          </cell>
          <cell r="M548">
            <v>12556.662999999999</v>
          </cell>
          <cell r="N548">
            <v>12778.880000000001</v>
          </cell>
        </row>
        <row r="550">
          <cell r="G550">
            <v>0</v>
          </cell>
          <cell r="H550">
            <v>0</v>
          </cell>
          <cell r="I550">
            <v>1398.5070000000001</v>
          </cell>
          <cell r="J550">
            <v>1452.394</v>
          </cell>
          <cell r="L550">
            <v>0</v>
          </cell>
          <cell r="M550">
            <v>1398.5070000000001</v>
          </cell>
          <cell r="N550">
            <v>1452.394</v>
          </cell>
        </row>
        <row r="551">
          <cell r="G551">
            <v>0</v>
          </cell>
          <cell r="H551">
            <v>0</v>
          </cell>
          <cell r="I551">
            <v>108.267</v>
          </cell>
          <cell r="J551">
            <v>111.08199999999999</v>
          </cell>
          <cell r="L551">
            <v>0</v>
          </cell>
          <cell r="M551">
            <v>108.267</v>
          </cell>
          <cell r="N551">
            <v>111.08199999999999</v>
          </cell>
        </row>
        <row r="552"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L552">
            <v>0</v>
          </cell>
          <cell r="M552">
            <v>0</v>
          </cell>
          <cell r="N552">
            <v>0</v>
          </cell>
        </row>
        <row r="553">
          <cell r="G553">
            <v>0</v>
          </cell>
          <cell r="H553">
            <v>0</v>
          </cell>
          <cell r="I553">
            <v>-4033.7379999999994</v>
          </cell>
          <cell r="J553">
            <v>-7905.8410000000003</v>
          </cell>
          <cell r="L553">
            <v>0</v>
          </cell>
          <cell r="M553">
            <v>-4033.7379999999994</v>
          </cell>
          <cell r="N553">
            <v>-7905.8410000000003</v>
          </cell>
        </row>
        <row r="554"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L554">
            <v>0</v>
          </cell>
          <cell r="M554">
            <v>0</v>
          </cell>
          <cell r="N554">
            <v>0</v>
          </cell>
        </row>
        <row r="555"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L555">
            <v>0</v>
          </cell>
          <cell r="M555">
            <v>0</v>
          </cell>
          <cell r="N555">
            <v>0</v>
          </cell>
        </row>
        <row r="556">
          <cell r="G556">
            <v>0</v>
          </cell>
          <cell r="H556">
            <v>0</v>
          </cell>
          <cell r="I556">
            <v>-37.545999999999999</v>
          </cell>
          <cell r="J556">
            <v>-462.97</v>
          </cell>
          <cell r="L556">
            <v>0</v>
          </cell>
          <cell r="M556">
            <v>-37.545999999999999</v>
          </cell>
          <cell r="N556">
            <v>-462.97</v>
          </cell>
        </row>
        <row r="557"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L557">
            <v>0</v>
          </cell>
          <cell r="M557">
            <v>0</v>
          </cell>
          <cell r="N557">
            <v>0</v>
          </cell>
        </row>
        <row r="558"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L558">
            <v>0</v>
          </cell>
          <cell r="M558">
            <v>0</v>
          </cell>
          <cell r="N558">
            <v>0</v>
          </cell>
        </row>
        <row r="559"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L559">
            <v>0</v>
          </cell>
          <cell r="M559">
            <v>0</v>
          </cell>
          <cell r="N559">
            <v>0</v>
          </cell>
        </row>
        <row r="560"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L560">
            <v>0</v>
          </cell>
          <cell r="M560">
            <v>0</v>
          </cell>
          <cell r="N560">
            <v>0</v>
          </cell>
        </row>
        <row r="561">
          <cell r="G561" t="str">
            <v>______</v>
          </cell>
          <cell r="H561" t="str">
            <v>______</v>
          </cell>
          <cell r="I561" t="str">
            <v>______</v>
          </cell>
          <cell r="J561" t="str">
            <v>______</v>
          </cell>
          <cell r="L561" t="str">
            <v>______</v>
          </cell>
          <cell r="M561" t="str">
            <v>______</v>
          </cell>
          <cell r="N561" t="str">
            <v>______</v>
          </cell>
        </row>
        <row r="562">
          <cell r="G562">
            <v>0</v>
          </cell>
          <cell r="H562">
            <v>0</v>
          </cell>
          <cell r="I562">
            <v>9992.1529999999984</v>
          </cell>
          <cell r="J562">
            <v>5973.545000000001</v>
          </cell>
          <cell r="L562">
            <v>0</v>
          </cell>
          <cell r="M562">
            <v>9992.1529999999984</v>
          </cell>
          <cell r="N562">
            <v>5973.545000000001</v>
          </cell>
        </row>
        <row r="565">
          <cell r="H565">
            <v>0</v>
          </cell>
          <cell r="I565">
            <v>-7357.5629999999992</v>
          </cell>
          <cell r="J565">
            <v>-763.41900000000078</v>
          </cell>
          <cell r="M565">
            <v>0</v>
          </cell>
          <cell r="N565">
            <v>0</v>
          </cell>
        </row>
        <row r="566">
          <cell r="H566">
            <v>0</v>
          </cell>
          <cell r="I566">
            <v>-2576.0410000000002</v>
          </cell>
          <cell r="J566">
            <v>-250.13499999999976</v>
          </cell>
          <cell r="M566">
            <v>0</v>
          </cell>
          <cell r="N566">
            <v>0</v>
          </cell>
        </row>
        <row r="567">
          <cell r="H567">
            <v>0</v>
          </cell>
          <cell r="I567">
            <v>-55.136000000000003</v>
          </cell>
          <cell r="J567">
            <v>-466.80199999999996</v>
          </cell>
          <cell r="M567">
            <v>0</v>
          </cell>
          <cell r="N567">
            <v>0</v>
          </cell>
        </row>
        <row r="568">
          <cell r="H568">
            <v>0</v>
          </cell>
          <cell r="I568">
            <v>-63.673000000000002</v>
          </cell>
          <cell r="J568">
            <v>-575.22199999999998</v>
          </cell>
          <cell r="M568">
            <v>0</v>
          </cell>
          <cell r="N568">
            <v>0</v>
          </cell>
        </row>
        <row r="569">
          <cell r="H569">
            <v>0</v>
          </cell>
          <cell r="I569">
            <v>-684.44299999999998</v>
          </cell>
          <cell r="J569">
            <v>-138.71100000000001</v>
          </cell>
          <cell r="M569">
            <v>0</v>
          </cell>
          <cell r="N569">
            <v>0</v>
          </cell>
        </row>
        <row r="570">
          <cell r="H570">
            <v>0</v>
          </cell>
          <cell r="I570">
            <v>0</v>
          </cell>
          <cell r="J570">
            <v>0</v>
          </cell>
          <cell r="M570">
            <v>0</v>
          </cell>
          <cell r="N570">
            <v>0</v>
          </cell>
        </row>
        <row r="571">
          <cell r="H571">
            <v>0</v>
          </cell>
          <cell r="I571">
            <v>2167.5430000000001</v>
          </cell>
          <cell r="J571">
            <v>45.423999999999523</v>
          </cell>
          <cell r="M571">
            <v>0</v>
          </cell>
          <cell r="N571">
            <v>0</v>
          </cell>
        </row>
        <row r="572">
          <cell r="H572">
            <v>0</v>
          </cell>
          <cell r="I572">
            <v>1045.2950000000001</v>
          </cell>
          <cell r="J572">
            <v>-414.57000000000005</v>
          </cell>
          <cell r="M572">
            <v>0</v>
          </cell>
          <cell r="N572">
            <v>0</v>
          </cell>
        </row>
        <row r="573">
          <cell r="H573">
            <v>0</v>
          </cell>
          <cell r="I573">
            <v>49.213999999999999</v>
          </cell>
          <cell r="J573">
            <v>698.55700000000002</v>
          </cell>
          <cell r="M573">
            <v>0</v>
          </cell>
          <cell r="N573">
            <v>0</v>
          </cell>
        </row>
        <row r="574">
          <cell r="H574">
            <v>0</v>
          </cell>
          <cell r="I574">
            <v>0</v>
          </cell>
          <cell r="J574">
            <v>2520.8310000000001</v>
          </cell>
          <cell r="M574">
            <v>0</v>
          </cell>
          <cell r="N574">
            <v>0</v>
          </cell>
        </row>
        <row r="575">
          <cell r="H575">
            <v>0</v>
          </cell>
          <cell r="I575">
            <v>158.45400000000001</v>
          </cell>
          <cell r="J575">
            <v>95.913999999999987</v>
          </cell>
          <cell r="M575">
            <v>0</v>
          </cell>
          <cell r="N575">
            <v>0</v>
          </cell>
        </row>
        <row r="576">
          <cell r="H576">
            <v>0</v>
          </cell>
          <cell r="I576">
            <v>1420.1220000000001</v>
          </cell>
          <cell r="J576">
            <v>29.888999999999896</v>
          </cell>
          <cell r="M576">
            <v>0</v>
          </cell>
          <cell r="N576">
            <v>0</v>
          </cell>
        </row>
        <row r="577">
          <cell r="H577">
            <v>0</v>
          </cell>
          <cell r="I577">
            <v>950.69299999999998</v>
          </cell>
          <cell r="J577">
            <v>-227.41499999999996</v>
          </cell>
          <cell r="M577">
            <v>0</v>
          </cell>
          <cell r="N577">
            <v>0</v>
          </cell>
        </row>
        <row r="578">
          <cell r="H578">
            <v>0</v>
          </cell>
          <cell r="I578">
            <v>151.14599999999999</v>
          </cell>
          <cell r="J578">
            <v>434.75900000000001</v>
          </cell>
          <cell r="M578">
            <v>0</v>
          </cell>
          <cell r="N578">
            <v>0</v>
          </cell>
        </row>
        <row r="579">
          <cell r="H579" t="str">
            <v>______</v>
          </cell>
          <cell r="I579" t="str">
            <v>______</v>
          </cell>
          <cell r="J579" t="str">
            <v>______</v>
          </cell>
          <cell r="M579" t="str">
            <v>______</v>
          </cell>
          <cell r="N579" t="str">
            <v>______</v>
          </cell>
        </row>
        <row r="580">
          <cell r="H580">
            <v>0</v>
          </cell>
          <cell r="I580">
            <v>-4794.3890000000001</v>
          </cell>
          <cell r="J580">
            <v>989.09999999999877</v>
          </cell>
          <cell r="M580">
            <v>0</v>
          </cell>
          <cell r="N580">
            <v>0</v>
          </cell>
        </row>
        <row r="581">
          <cell r="H581" t="str">
            <v>______</v>
          </cell>
          <cell r="I581" t="str">
            <v>______</v>
          </cell>
          <cell r="J581" t="str">
            <v>______</v>
          </cell>
          <cell r="M581" t="str">
            <v>______</v>
          </cell>
          <cell r="N581" t="str">
            <v>______</v>
          </cell>
        </row>
        <row r="582">
          <cell r="H582">
            <v>0</v>
          </cell>
          <cell r="I582">
            <v>5197.7639999999983</v>
          </cell>
          <cell r="J582">
            <v>6962.6449999999995</v>
          </cell>
          <cell r="M582">
            <v>9992.1529999999984</v>
          </cell>
          <cell r="N582">
            <v>5973.545000000001</v>
          </cell>
        </row>
        <row r="584">
          <cell r="H584">
            <v>0</v>
          </cell>
          <cell r="I584">
            <v>0</v>
          </cell>
          <cell r="J584">
            <v>0</v>
          </cell>
          <cell r="M584">
            <v>0</v>
          </cell>
          <cell r="N584">
            <v>0</v>
          </cell>
        </row>
        <row r="585">
          <cell r="H585">
            <v>0</v>
          </cell>
          <cell r="I585">
            <v>0</v>
          </cell>
          <cell r="J585">
            <v>0</v>
          </cell>
          <cell r="M585">
            <v>0</v>
          </cell>
          <cell r="N585">
            <v>0</v>
          </cell>
        </row>
        <row r="586">
          <cell r="H586" t="str">
            <v>______</v>
          </cell>
          <cell r="I586" t="str">
            <v>______</v>
          </cell>
          <cell r="J586" t="str">
            <v>______</v>
          </cell>
          <cell r="M586" t="str">
            <v>______</v>
          </cell>
          <cell r="N586" t="str">
            <v>______</v>
          </cell>
        </row>
        <row r="587">
          <cell r="H587">
            <v>0</v>
          </cell>
          <cell r="I587">
            <v>5197.7639999999983</v>
          </cell>
          <cell r="J587">
            <v>6962.6449999999995</v>
          </cell>
          <cell r="M587">
            <v>9992.1529999999984</v>
          </cell>
          <cell r="N587">
            <v>5973.545000000001</v>
          </cell>
        </row>
        <row r="590">
          <cell r="H590">
            <v>0</v>
          </cell>
          <cell r="I590">
            <v>0</v>
          </cell>
          <cell r="J590">
            <v>0</v>
          </cell>
          <cell r="M590">
            <v>0</v>
          </cell>
          <cell r="N590">
            <v>0</v>
          </cell>
        </row>
        <row r="591">
          <cell r="H591">
            <v>0</v>
          </cell>
          <cell r="I591">
            <v>0</v>
          </cell>
          <cell r="J591">
            <v>0</v>
          </cell>
          <cell r="M591">
            <v>0</v>
          </cell>
          <cell r="N591">
            <v>0</v>
          </cell>
        </row>
        <row r="593">
          <cell r="H593">
            <v>0</v>
          </cell>
          <cell r="I593">
            <v>-1136.989</v>
          </cell>
          <cell r="J593">
            <v>-11.363000000000056</v>
          </cell>
          <cell r="M593">
            <v>0</v>
          </cell>
          <cell r="N593">
            <v>0</v>
          </cell>
        </row>
        <row r="594">
          <cell r="H594">
            <v>0</v>
          </cell>
          <cell r="I594">
            <v>-176.63200000000001</v>
          </cell>
          <cell r="J594">
            <v>36.621000000000009</v>
          </cell>
          <cell r="M594">
            <v>0</v>
          </cell>
          <cell r="N594">
            <v>0</v>
          </cell>
        </row>
        <row r="595">
          <cell r="H595">
            <v>0</v>
          </cell>
          <cell r="I595">
            <v>3116.3029999999999</v>
          </cell>
          <cell r="J595">
            <v>-379.88400000000001</v>
          </cell>
          <cell r="M595">
            <v>0</v>
          </cell>
          <cell r="N595">
            <v>0</v>
          </cell>
        </row>
        <row r="596">
          <cell r="H596">
            <v>0</v>
          </cell>
          <cell r="I596">
            <v>0</v>
          </cell>
          <cell r="J596">
            <v>0</v>
          </cell>
          <cell r="M596">
            <v>0</v>
          </cell>
          <cell r="N596">
            <v>0</v>
          </cell>
        </row>
        <row r="597">
          <cell r="H597">
            <v>0</v>
          </cell>
          <cell r="I597">
            <v>-315.77699999999999</v>
          </cell>
          <cell r="J597">
            <v>102.87099999999998</v>
          </cell>
          <cell r="M597">
            <v>0</v>
          </cell>
          <cell r="N597">
            <v>0</v>
          </cell>
        </row>
        <row r="598">
          <cell r="H598">
            <v>0</v>
          </cell>
          <cell r="I598">
            <v>-65483.093000000008</v>
          </cell>
          <cell r="J598">
            <v>-6731.1749999999884</v>
          </cell>
          <cell r="M598">
            <v>4033.7379999999994</v>
          </cell>
          <cell r="N598">
            <v>7905.8410000000003</v>
          </cell>
        </row>
        <row r="599">
          <cell r="H599">
            <v>0</v>
          </cell>
          <cell r="I599">
            <v>15102.003000000001</v>
          </cell>
          <cell r="J599">
            <v>1843.2749999999978</v>
          </cell>
          <cell r="M599">
            <v>0</v>
          </cell>
          <cell r="N599">
            <v>0</v>
          </cell>
        </row>
        <row r="600">
          <cell r="H600">
            <v>0</v>
          </cell>
          <cell r="I600">
            <v>1901.1970000000001</v>
          </cell>
          <cell r="J600">
            <v>159.98599999999988</v>
          </cell>
          <cell r="M600">
            <v>0</v>
          </cell>
          <cell r="N600">
            <v>0</v>
          </cell>
        </row>
        <row r="601">
          <cell r="H601">
            <v>0</v>
          </cell>
          <cell r="I601">
            <v>0</v>
          </cell>
          <cell r="J601">
            <v>0</v>
          </cell>
          <cell r="M601">
            <v>0</v>
          </cell>
          <cell r="N601">
            <v>0</v>
          </cell>
        </row>
        <row r="602">
          <cell r="H602">
            <v>0</v>
          </cell>
          <cell r="I602">
            <v>0</v>
          </cell>
          <cell r="J602">
            <v>0</v>
          </cell>
          <cell r="M602">
            <v>0</v>
          </cell>
          <cell r="N602">
            <v>0</v>
          </cell>
        </row>
        <row r="603">
          <cell r="H603">
            <v>0</v>
          </cell>
          <cell r="I603">
            <v>0</v>
          </cell>
          <cell r="J603">
            <v>0</v>
          </cell>
          <cell r="M603">
            <v>0</v>
          </cell>
          <cell r="N603">
            <v>0</v>
          </cell>
        </row>
        <row r="604">
          <cell r="H604">
            <v>0</v>
          </cell>
          <cell r="I604">
            <v>0</v>
          </cell>
          <cell r="J604">
            <v>0</v>
          </cell>
          <cell r="M604">
            <v>0</v>
          </cell>
          <cell r="N604">
            <v>0</v>
          </cell>
        </row>
        <row r="605">
          <cell r="H605">
            <v>0</v>
          </cell>
          <cell r="I605">
            <v>0</v>
          </cell>
          <cell r="J605">
            <v>0</v>
          </cell>
          <cell r="M605">
            <v>0</v>
          </cell>
          <cell r="N605">
            <v>0</v>
          </cell>
        </row>
        <row r="606">
          <cell r="H606">
            <v>0</v>
          </cell>
          <cell r="I606">
            <v>0</v>
          </cell>
          <cell r="J606">
            <v>0</v>
          </cell>
          <cell r="M606">
            <v>0</v>
          </cell>
          <cell r="N606">
            <v>0</v>
          </cell>
        </row>
        <row r="608">
          <cell r="H608">
            <v>0</v>
          </cell>
          <cell r="I608">
            <v>-41795.224000000017</v>
          </cell>
          <cell r="J608">
            <v>1982.9760000000088</v>
          </cell>
          <cell r="M608">
            <v>14025.890999999998</v>
          </cell>
          <cell r="N608">
            <v>13879.386000000002</v>
          </cell>
        </row>
        <row r="614">
          <cell r="H614">
            <v>0</v>
          </cell>
          <cell r="I614">
            <v>0</v>
          </cell>
          <cell r="J614">
            <v>0</v>
          </cell>
          <cell r="M614">
            <v>0</v>
          </cell>
          <cell r="N614">
            <v>0</v>
          </cell>
        </row>
        <row r="632">
          <cell r="H632" t="str">
            <v>______</v>
          </cell>
          <cell r="I632" t="str">
            <v>______</v>
          </cell>
          <cell r="J632" t="str">
            <v>______</v>
          </cell>
          <cell r="M632" t="str">
            <v>______</v>
          </cell>
          <cell r="N632" t="str">
            <v>______</v>
          </cell>
        </row>
        <row r="633">
          <cell r="H633">
            <v>0</v>
          </cell>
          <cell r="I633">
            <v>0</v>
          </cell>
          <cell r="J633">
            <v>0</v>
          </cell>
          <cell r="M633">
            <v>0</v>
          </cell>
          <cell r="N633">
            <v>0</v>
          </cell>
        </row>
        <row r="635">
          <cell r="H635">
            <v>0</v>
          </cell>
          <cell r="I635">
            <v>0</v>
          </cell>
          <cell r="J635">
            <v>0</v>
          </cell>
          <cell r="M635">
            <v>0</v>
          </cell>
          <cell r="N635">
            <v>0</v>
          </cell>
        </row>
        <row r="636">
          <cell r="H636">
            <v>0</v>
          </cell>
          <cell r="I636">
            <v>0</v>
          </cell>
          <cell r="J636">
            <v>0</v>
          </cell>
          <cell r="M636">
            <v>0</v>
          </cell>
          <cell r="N636">
            <v>0</v>
          </cell>
        </row>
        <row r="637">
          <cell r="H637" t="str">
            <v>______</v>
          </cell>
          <cell r="I637" t="str">
            <v>______</v>
          </cell>
          <cell r="J637" t="str">
            <v>______</v>
          </cell>
          <cell r="M637" t="str">
            <v>______</v>
          </cell>
          <cell r="N637" t="str">
            <v>______</v>
          </cell>
        </row>
        <row r="665">
          <cell r="H665">
            <v>0</v>
          </cell>
          <cell r="I665">
            <v>-41795.224000000017</v>
          </cell>
          <cell r="J665">
            <v>1982.9760000000088</v>
          </cell>
          <cell r="M665">
            <v>14025.890999999998</v>
          </cell>
          <cell r="N665">
            <v>13879.386000000002</v>
          </cell>
        </row>
        <row r="667">
          <cell r="H667">
            <v>0</v>
          </cell>
          <cell r="I667">
            <v>806.38800000000003</v>
          </cell>
          <cell r="J667">
            <v>-133.94299999999998</v>
          </cell>
          <cell r="M667">
            <v>0</v>
          </cell>
          <cell r="N667">
            <v>0</v>
          </cell>
        </row>
        <row r="676">
          <cell r="G676">
            <v>0</v>
          </cell>
          <cell r="H676">
            <v>0</v>
          </cell>
          <cell r="I676">
            <v>806.38800000000003</v>
          </cell>
          <cell r="J676">
            <v>672.44500000000005</v>
          </cell>
          <cell r="L676">
            <v>0</v>
          </cell>
          <cell r="M676">
            <v>0</v>
          </cell>
          <cell r="N676">
            <v>0</v>
          </cell>
        </row>
        <row r="677">
          <cell r="G677">
            <v>0</v>
          </cell>
          <cell r="H677">
            <v>0</v>
          </cell>
          <cell r="I677">
            <v>7357.5629999999992</v>
          </cell>
          <cell r="J677">
            <v>8120.982</v>
          </cell>
          <cell r="L677">
            <v>0</v>
          </cell>
          <cell r="M677">
            <v>0</v>
          </cell>
          <cell r="N677">
            <v>0</v>
          </cell>
        </row>
        <row r="678">
          <cell r="G678">
            <v>0</v>
          </cell>
          <cell r="H678">
            <v>0</v>
          </cell>
          <cell r="I678">
            <v>2576.0410000000002</v>
          </cell>
          <cell r="J678">
            <v>2826.1759999999999</v>
          </cell>
          <cell r="L678">
            <v>0</v>
          </cell>
          <cell r="M678">
            <v>0</v>
          </cell>
          <cell r="N678">
            <v>0</v>
          </cell>
        </row>
        <row r="679">
          <cell r="G679">
            <v>0</v>
          </cell>
          <cell r="H679">
            <v>0</v>
          </cell>
          <cell r="I679">
            <v>55.136000000000003</v>
          </cell>
          <cell r="J679">
            <v>521.93799999999999</v>
          </cell>
          <cell r="L679">
            <v>0</v>
          </cell>
          <cell r="M679">
            <v>0</v>
          </cell>
          <cell r="N679">
            <v>0</v>
          </cell>
        </row>
        <row r="680">
          <cell r="G680">
            <v>0</v>
          </cell>
          <cell r="H680">
            <v>0</v>
          </cell>
          <cell r="I680">
            <v>63.673000000000002</v>
          </cell>
          <cell r="J680">
            <v>638.89499999999998</v>
          </cell>
          <cell r="L680">
            <v>0</v>
          </cell>
          <cell r="M680">
            <v>0</v>
          </cell>
          <cell r="N680">
            <v>0</v>
          </cell>
        </row>
        <row r="681">
          <cell r="G681">
            <v>0</v>
          </cell>
          <cell r="H681">
            <v>0</v>
          </cell>
          <cell r="I681">
            <v>684.44299999999998</v>
          </cell>
          <cell r="J681">
            <v>823.154</v>
          </cell>
          <cell r="L681">
            <v>0</v>
          </cell>
          <cell r="M681">
            <v>0</v>
          </cell>
          <cell r="N681">
            <v>0</v>
          </cell>
        </row>
        <row r="682"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L682">
            <v>0</v>
          </cell>
          <cell r="M682">
            <v>0</v>
          </cell>
          <cell r="N682">
            <v>0</v>
          </cell>
        </row>
        <row r="683">
          <cell r="G683" t="str">
            <v>______</v>
          </cell>
          <cell r="H683" t="str">
            <v>______</v>
          </cell>
          <cell r="I683" t="str">
            <v>______</v>
          </cell>
          <cell r="J683" t="str">
            <v>______</v>
          </cell>
          <cell r="L683" t="str">
            <v>______</v>
          </cell>
          <cell r="M683" t="str">
            <v>______</v>
          </cell>
          <cell r="N683" t="str">
            <v>______</v>
          </cell>
        </row>
        <row r="684">
          <cell r="G684">
            <v>0</v>
          </cell>
          <cell r="H684">
            <v>0</v>
          </cell>
          <cell r="I684">
            <v>11543.243999999999</v>
          </cell>
          <cell r="J684">
            <v>13603.59</v>
          </cell>
          <cell r="L684">
            <v>0</v>
          </cell>
          <cell r="M684">
            <v>0</v>
          </cell>
          <cell r="N684">
            <v>0</v>
          </cell>
        </row>
        <row r="686">
          <cell r="G686">
            <v>0</v>
          </cell>
          <cell r="H686">
            <v>0</v>
          </cell>
          <cell r="I686">
            <v>36953.792000000001</v>
          </cell>
          <cell r="J686">
            <v>39822.54</v>
          </cell>
          <cell r="L686">
            <v>0</v>
          </cell>
          <cell r="M686">
            <v>0</v>
          </cell>
          <cell r="N686">
            <v>0</v>
          </cell>
        </row>
        <row r="688">
          <cell r="G688">
            <v>0</v>
          </cell>
          <cell r="H688">
            <v>0</v>
          </cell>
          <cell r="I688">
            <v>1136.989</v>
          </cell>
          <cell r="J688">
            <v>1148.3520000000001</v>
          </cell>
          <cell r="L688">
            <v>0</v>
          </cell>
          <cell r="M688">
            <v>0</v>
          </cell>
          <cell r="N688">
            <v>0</v>
          </cell>
        </row>
        <row r="689">
          <cell r="G689">
            <v>0</v>
          </cell>
          <cell r="H689">
            <v>0</v>
          </cell>
          <cell r="I689">
            <v>176.63200000000001</v>
          </cell>
          <cell r="J689">
            <v>140.011</v>
          </cell>
          <cell r="L689">
            <v>0</v>
          </cell>
          <cell r="M689">
            <v>0</v>
          </cell>
          <cell r="N689">
            <v>0</v>
          </cell>
        </row>
        <row r="690">
          <cell r="G690">
            <v>0</v>
          </cell>
          <cell r="H690">
            <v>0</v>
          </cell>
          <cell r="I690">
            <v>-3116.3029999999999</v>
          </cell>
          <cell r="J690">
            <v>-2736.4189999999999</v>
          </cell>
          <cell r="L690">
            <v>0</v>
          </cell>
          <cell r="M690">
            <v>0</v>
          </cell>
          <cell r="N690">
            <v>0</v>
          </cell>
        </row>
        <row r="691"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L691">
            <v>0</v>
          </cell>
          <cell r="M691">
            <v>0</v>
          </cell>
          <cell r="N691">
            <v>0</v>
          </cell>
        </row>
        <row r="692">
          <cell r="G692">
            <v>0</v>
          </cell>
          <cell r="H692">
            <v>0</v>
          </cell>
          <cell r="I692">
            <v>315.77699999999999</v>
          </cell>
          <cell r="J692">
            <v>212.90600000000001</v>
          </cell>
          <cell r="L692">
            <v>0</v>
          </cell>
          <cell r="M692">
            <v>0</v>
          </cell>
          <cell r="N692">
            <v>0</v>
          </cell>
        </row>
        <row r="693">
          <cell r="G693">
            <v>0</v>
          </cell>
          <cell r="H693">
            <v>0</v>
          </cell>
          <cell r="I693">
            <v>4764.9049999999997</v>
          </cell>
          <cell r="J693">
            <v>4893.8429999999998</v>
          </cell>
          <cell r="L693">
            <v>0</v>
          </cell>
          <cell r="M693">
            <v>0</v>
          </cell>
          <cell r="N693">
            <v>0</v>
          </cell>
        </row>
        <row r="694">
          <cell r="G694">
            <v>0</v>
          </cell>
          <cell r="H694">
            <v>0</v>
          </cell>
          <cell r="I694">
            <v>69516.831000000006</v>
          </cell>
          <cell r="J694">
            <v>84153.846999999994</v>
          </cell>
          <cell r="L694">
            <v>0</v>
          </cell>
          <cell r="M694">
            <v>0</v>
          </cell>
          <cell r="N694">
            <v>0</v>
          </cell>
        </row>
        <row r="696">
          <cell r="G696">
            <v>0</v>
          </cell>
          <cell r="H696">
            <v>0</v>
          </cell>
          <cell r="I696">
            <v>121291.867</v>
          </cell>
          <cell r="J696">
            <v>141238.66999999998</v>
          </cell>
          <cell r="L696">
            <v>0</v>
          </cell>
          <cell r="M696">
            <v>0</v>
          </cell>
          <cell r="N696">
            <v>0</v>
          </cell>
        </row>
        <row r="699">
          <cell r="G699">
            <v>0</v>
          </cell>
          <cell r="H699">
            <v>0</v>
          </cell>
          <cell r="I699">
            <v>2167.5430000000001</v>
          </cell>
          <cell r="J699">
            <v>2212.9669999999996</v>
          </cell>
          <cell r="L699">
            <v>0</v>
          </cell>
          <cell r="M699">
            <v>0</v>
          </cell>
          <cell r="N699">
            <v>0</v>
          </cell>
        </row>
        <row r="700">
          <cell r="G700">
            <v>0</v>
          </cell>
          <cell r="H700">
            <v>0</v>
          </cell>
          <cell r="I700">
            <v>1045.2950000000001</v>
          </cell>
          <cell r="J700">
            <v>630.72500000000002</v>
          </cell>
          <cell r="L700">
            <v>0</v>
          </cell>
          <cell r="M700">
            <v>0</v>
          </cell>
          <cell r="N700">
            <v>0</v>
          </cell>
        </row>
        <row r="701">
          <cell r="G701">
            <v>0</v>
          </cell>
          <cell r="H701">
            <v>0</v>
          </cell>
          <cell r="I701">
            <v>49.213999999999999</v>
          </cell>
          <cell r="J701">
            <v>747.77099999999996</v>
          </cell>
          <cell r="L701">
            <v>0</v>
          </cell>
          <cell r="M701">
            <v>0</v>
          </cell>
          <cell r="N701">
            <v>0</v>
          </cell>
        </row>
        <row r="702">
          <cell r="G702">
            <v>0</v>
          </cell>
          <cell r="H702">
            <v>0</v>
          </cell>
          <cell r="I702">
            <v>0</v>
          </cell>
          <cell r="J702">
            <v>2520.8310000000001</v>
          </cell>
          <cell r="L702">
            <v>0</v>
          </cell>
          <cell r="M702">
            <v>0</v>
          </cell>
          <cell r="N702">
            <v>0</v>
          </cell>
        </row>
        <row r="703">
          <cell r="G703">
            <v>0</v>
          </cell>
          <cell r="H703">
            <v>0</v>
          </cell>
          <cell r="I703">
            <v>158.45400000000001</v>
          </cell>
          <cell r="J703">
            <v>254.36799999999999</v>
          </cell>
          <cell r="L703">
            <v>0</v>
          </cell>
          <cell r="M703">
            <v>0</v>
          </cell>
          <cell r="N703">
            <v>0</v>
          </cell>
        </row>
        <row r="704">
          <cell r="G704">
            <v>0</v>
          </cell>
          <cell r="H704">
            <v>0</v>
          </cell>
          <cell r="I704">
            <v>1420.1220000000001</v>
          </cell>
          <cell r="J704">
            <v>1450.011</v>
          </cell>
          <cell r="L704">
            <v>0</v>
          </cell>
          <cell r="M704">
            <v>0</v>
          </cell>
          <cell r="N704">
            <v>0</v>
          </cell>
        </row>
        <row r="705">
          <cell r="G705">
            <v>0</v>
          </cell>
          <cell r="H705">
            <v>0</v>
          </cell>
          <cell r="I705">
            <v>950.69299999999998</v>
          </cell>
          <cell r="J705">
            <v>723.27800000000002</v>
          </cell>
          <cell r="L705">
            <v>0</v>
          </cell>
          <cell r="M705">
            <v>0</v>
          </cell>
          <cell r="N705">
            <v>0</v>
          </cell>
        </row>
        <row r="706">
          <cell r="G706">
            <v>0</v>
          </cell>
          <cell r="H706">
            <v>0</v>
          </cell>
          <cell r="I706">
            <v>151.14599999999999</v>
          </cell>
          <cell r="J706">
            <v>585.90499999999997</v>
          </cell>
          <cell r="L706">
            <v>0</v>
          </cell>
          <cell r="M706">
            <v>0</v>
          </cell>
          <cell r="N706">
            <v>0</v>
          </cell>
        </row>
        <row r="707">
          <cell r="G707" t="str">
            <v>______</v>
          </cell>
          <cell r="H707" t="str">
            <v>______</v>
          </cell>
          <cell r="I707" t="str">
            <v>______</v>
          </cell>
          <cell r="J707" t="str">
            <v>______</v>
          </cell>
          <cell r="L707" t="str">
            <v>______</v>
          </cell>
          <cell r="M707" t="str">
            <v>______</v>
          </cell>
          <cell r="N707" t="str">
            <v>______</v>
          </cell>
        </row>
        <row r="708">
          <cell r="G708">
            <v>0</v>
          </cell>
          <cell r="H708">
            <v>0</v>
          </cell>
          <cell r="I708">
            <v>5942.4670000000006</v>
          </cell>
          <cell r="J708">
            <v>9125.8560000000016</v>
          </cell>
          <cell r="L708">
            <v>0</v>
          </cell>
          <cell r="M708">
            <v>0</v>
          </cell>
          <cell r="N708">
            <v>0</v>
          </cell>
        </row>
        <row r="710">
          <cell r="G710">
            <v>0</v>
          </cell>
          <cell r="H710">
            <v>0</v>
          </cell>
          <cell r="I710">
            <v>15102.003000000001</v>
          </cell>
          <cell r="J710">
            <v>16945.277999999998</v>
          </cell>
          <cell r="L710">
            <v>0</v>
          </cell>
          <cell r="M710">
            <v>0</v>
          </cell>
          <cell r="N710">
            <v>0</v>
          </cell>
        </row>
        <row r="711">
          <cell r="G711">
            <v>0</v>
          </cell>
          <cell r="H711">
            <v>0</v>
          </cell>
          <cell r="I711">
            <v>1901.1970000000001</v>
          </cell>
          <cell r="J711">
            <v>2061.183</v>
          </cell>
          <cell r="L711">
            <v>0</v>
          </cell>
          <cell r="M711">
            <v>0</v>
          </cell>
          <cell r="N711">
            <v>0</v>
          </cell>
        </row>
        <row r="712"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L712">
            <v>0</v>
          </cell>
          <cell r="M712">
            <v>0</v>
          </cell>
          <cell r="N712">
            <v>0</v>
          </cell>
        </row>
        <row r="713"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L713">
            <v>0</v>
          </cell>
          <cell r="M713">
            <v>0</v>
          </cell>
          <cell r="N713">
            <v>0</v>
          </cell>
        </row>
        <row r="714"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L714">
            <v>0</v>
          </cell>
          <cell r="M714">
            <v>0</v>
          </cell>
          <cell r="N714">
            <v>0</v>
          </cell>
        </row>
        <row r="717">
          <cell r="G717">
            <v>0</v>
          </cell>
          <cell r="H717">
            <v>0</v>
          </cell>
          <cell r="I717">
            <v>9448.2000000000007</v>
          </cell>
          <cell r="J717">
            <v>10601.400000000001</v>
          </cell>
          <cell r="L717">
            <v>0</v>
          </cell>
          <cell r="M717">
            <v>0</v>
          </cell>
          <cell r="N717">
            <v>0</v>
          </cell>
        </row>
        <row r="718"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L718">
            <v>0</v>
          </cell>
          <cell r="M718">
            <v>0</v>
          </cell>
          <cell r="N718">
            <v>0</v>
          </cell>
        </row>
        <row r="719">
          <cell r="G719">
            <v>0</v>
          </cell>
          <cell r="H719">
            <v>0</v>
          </cell>
          <cell r="I719">
            <v>8909.1370000000006</v>
          </cell>
          <cell r="J719">
            <v>7734.3729999999996</v>
          </cell>
          <cell r="L719">
            <v>0</v>
          </cell>
          <cell r="M719">
            <v>0</v>
          </cell>
          <cell r="N719">
            <v>0</v>
          </cell>
        </row>
        <row r="720">
          <cell r="G720">
            <v>0</v>
          </cell>
          <cell r="H720">
            <v>0</v>
          </cell>
          <cell r="I720">
            <v>0</v>
          </cell>
          <cell r="J720">
            <v>4826.84</v>
          </cell>
          <cell r="L720">
            <v>0</v>
          </cell>
          <cell r="M720">
            <v>0</v>
          </cell>
          <cell r="N720">
            <v>0</v>
          </cell>
        </row>
        <row r="721"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L721">
            <v>0</v>
          </cell>
          <cell r="M721">
            <v>0</v>
          </cell>
          <cell r="N721">
            <v>0</v>
          </cell>
        </row>
        <row r="722"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L722">
            <v>0</v>
          </cell>
          <cell r="M722">
            <v>0</v>
          </cell>
          <cell r="N722">
            <v>0</v>
          </cell>
        </row>
        <row r="723"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L723">
            <v>0</v>
          </cell>
          <cell r="M723">
            <v>0</v>
          </cell>
          <cell r="N723">
            <v>0</v>
          </cell>
        </row>
        <row r="724"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L724">
            <v>0</v>
          </cell>
          <cell r="M724">
            <v>0</v>
          </cell>
          <cell r="N724">
            <v>0</v>
          </cell>
        </row>
        <row r="725"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L725">
            <v>0</v>
          </cell>
          <cell r="M725">
            <v>0</v>
          </cell>
          <cell r="N725">
            <v>0</v>
          </cell>
        </row>
        <row r="726"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L726">
            <v>0</v>
          </cell>
          <cell r="M726">
            <v>0</v>
          </cell>
          <cell r="N726">
            <v>0</v>
          </cell>
        </row>
        <row r="727"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L727">
            <v>0</v>
          </cell>
          <cell r="M727">
            <v>0</v>
          </cell>
          <cell r="N727">
            <v>0</v>
          </cell>
        </row>
        <row r="728"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L728">
            <v>0</v>
          </cell>
          <cell r="M728">
            <v>0</v>
          </cell>
          <cell r="N728">
            <v>0</v>
          </cell>
        </row>
        <row r="729"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L729">
            <v>0</v>
          </cell>
          <cell r="M729">
            <v>0</v>
          </cell>
          <cell r="N729">
            <v>0</v>
          </cell>
        </row>
        <row r="730"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L730">
            <v>0</v>
          </cell>
          <cell r="M730">
            <v>0</v>
          </cell>
          <cell r="N730">
            <v>0</v>
          </cell>
        </row>
        <row r="731"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L731">
            <v>0</v>
          </cell>
          <cell r="M731">
            <v>0</v>
          </cell>
          <cell r="N731">
            <v>0</v>
          </cell>
        </row>
        <row r="732"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L732">
            <v>0</v>
          </cell>
          <cell r="M732">
            <v>0</v>
          </cell>
          <cell r="N732">
            <v>0</v>
          </cell>
        </row>
        <row r="733"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L733">
            <v>0</v>
          </cell>
          <cell r="M733">
            <v>0</v>
          </cell>
          <cell r="N733">
            <v>0</v>
          </cell>
        </row>
        <row r="734"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L734">
            <v>0</v>
          </cell>
          <cell r="M734">
            <v>0</v>
          </cell>
          <cell r="N734">
            <v>0</v>
          </cell>
        </row>
        <row r="735">
          <cell r="G735" t="str">
            <v>______</v>
          </cell>
          <cell r="H735" t="str">
            <v>______</v>
          </cell>
          <cell r="I735" t="str">
            <v>______</v>
          </cell>
          <cell r="J735" t="str">
            <v>______</v>
          </cell>
          <cell r="L735" t="str">
            <v>______</v>
          </cell>
          <cell r="M735" t="str">
            <v>______</v>
          </cell>
          <cell r="N735" t="str">
            <v>______</v>
          </cell>
        </row>
        <row r="736">
          <cell r="G736">
            <v>0</v>
          </cell>
          <cell r="H736">
            <v>0</v>
          </cell>
          <cell r="I736">
            <v>18357.337</v>
          </cell>
          <cell r="J736">
            <v>23162.613000000001</v>
          </cell>
          <cell r="L736">
            <v>0</v>
          </cell>
          <cell r="M736">
            <v>0</v>
          </cell>
          <cell r="N736">
            <v>0</v>
          </cell>
        </row>
        <row r="738"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L738">
            <v>0</v>
          </cell>
          <cell r="M738">
            <v>0</v>
          </cell>
          <cell r="N738">
            <v>0</v>
          </cell>
        </row>
        <row r="740">
          <cell r="G740">
            <v>0</v>
          </cell>
          <cell r="H740">
            <v>0</v>
          </cell>
          <cell r="I740">
            <v>41303.004000000001</v>
          </cell>
          <cell r="J740">
            <v>51294.93</v>
          </cell>
          <cell r="L740">
            <v>0</v>
          </cell>
          <cell r="M740">
            <v>0</v>
          </cell>
          <cell r="N740">
            <v>0</v>
          </cell>
        </row>
        <row r="742">
          <cell r="G742">
            <v>1996</v>
          </cell>
          <cell r="H742">
            <v>1997</v>
          </cell>
          <cell r="I742">
            <v>1998</v>
          </cell>
          <cell r="J742">
            <v>1999</v>
          </cell>
          <cell r="L742">
            <v>1998</v>
          </cell>
          <cell r="M742">
            <v>1999</v>
          </cell>
          <cell r="N742">
            <v>2000</v>
          </cell>
        </row>
        <row r="745"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L745">
            <v>0</v>
          </cell>
          <cell r="M745">
            <v>0</v>
          </cell>
          <cell r="N745">
            <v>0</v>
          </cell>
        </row>
        <row r="746"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L746">
            <v>0</v>
          </cell>
          <cell r="M746">
            <v>0</v>
          </cell>
          <cell r="N746">
            <v>0</v>
          </cell>
        </row>
        <row r="747">
          <cell r="G747">
            <v>0</v>
          </cell>
          <cell r="H747">
            <v>0</v>
          </cell>
          <cell r="I747">
            <v>22753.388999999996</v>
          </cell>
          <cell r="J747">
            <v>23575.857</v>
          </cell>
          <cell r="L747">
            <v>0</v>
          </cell>
          <cell r="M747">
            <v>0</v>
          </cell>
          <cell r="N747">
            <v>0</v>
          </cell>
        </row>
        <row r="748">
          <cell r="G748">
            <v>0</v>
          </cell>
          <cell r="H748">
            <v>0</v>
          </cell>
          <cell r="I748">
            <v>57235.474000000002</v>
          </cell>
          <cell r="J748">
            <v>66367.883000000002</v>
          </cell>
          <cell r="L748">
            <v>0</v>
          </cell>
          <cell r="M748">
            <v>0</v>
          </cell>
          <cell r="N748">
            <v>0</v>
          </cell>
        </row>
        <row r="749"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L749">
            <v>0</v>
          </cell>
          <cell r="M749">
            <v>0</v>
          </cell>
          <cell r="N749">
            <v>0</v>
          </cell>
        </row>
        <row r="750"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L750">
            <v>0</v>
          </cell>
          <cell r="M750">
            <v>0</v>
          </cell>
          <cell r="N750">
            <v>0</v>
          </cell>
        </row>
        <row r="751"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L751">
            <v>0</v>
          </cell>
          <cell r="M751">
            <v>0</v>
          </cell>
          <cell r="N751">
            <v>0</v>
          </cell>
        </row>
        <row r="753">
          <cell r="G753">
            <v>0</v>
          </cell>
          <cell r="H753">
            <v>0</v>
          </cell>
          <cell r="I753">
            <v>79988.862999999998</v>
          </cell>
          <cell r="J753">
            <v>89943.74</v>
          </cell>
          <cell r="L753">
            <v>0</v>
          </cell>
          <cell r="M753">
            <v>0</v>
          </cell>
          <cell r="N753">
            <v>0</v>
          </cell>
        </row>
        <row r="755">
          <cell r="G755">
            <v>0</v>
          </cell>
          <cell r="H755">
            <v>0</v>
          </cell>
          <cell r="I755">
            <v>121291.867</v>
          </cell>
          <cell r="J755">
            <v>141238.67000000001</v>
          </cell>
          <cell r="L755">
            <v>0</v>
          </cell>
          <cell r="M755">
            <v>0</v>
          </cell>
          <cell r="N755">
            <v>0</v>
          </cell>
        </row>
        <row r="757"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L757">
            <v>0</v>
          </cell>
          <cell r="M757">
            <v>0</v>
          </cell>
          <cell r="N757">
            <v>0</v>
          </cell>
        </row>
        <row r="837">
          <cell r="L837">
            <v>0</v>
          </cell>
          <cell r="M837">
            <v>0</v>
          </cell>
          <cell r="N837">
            <v>0</v>
          </cell>
        </row>
        <row r="838">
          <cell r="L838">
            <v>0</v>
          </cell>
          <cell r="M838">
            <v>0</v>
          </cell>
          <cell r="N838">
            <v>0</v>
          </cell>
        </row>
        <row r="840">
          <cell r="G840">
            <v>0</v>
          </cell>
          <cell r="H840">
            <v>6416.5503355704705</v>
          </cell>
          <cell r="I840">
            <v>4195.1859999999997</v>
          </cell>
          <cell r="J840">
            <v>4860.1379999999999</v>
          </cell>
          <cell r="L840">
            <v>0</v>
          </cell>
          <cell r="M840">
            <v>0</v>
          </cell>
          <cell r="N840">
            <v>0</v>
          </cell>
        </row>
        <row r="1266">
          <cell r="H1266">
            <v>0</v>
          </cell>
          <cell r="I1266">
            <v>0</v>
          </cell>
          <cell r="J1266">
            <v>0</v>
          </cell>
          <cell r="M1266">
            <v>0</v>
          </cell>
          <cell r="N1266">
            <v>0</v>
          </cell>
        </row>
        <row r="1267">
          <cell r="G1267">
            <v>0</v>
          </cell>
          <cell r="H1267">
            <v>0</v>
          </cell>
          <cell r="I1267">
            <v>0</v>
          </cell>
          <cell r="J1267">
            <v>0</v>
          </cell>
        </row>
        <row r="1454"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L1454">
            <v>0</v>
          </cell>
          <cell r="M1454">
            <v>0</v>
          </cell>
          <cell r="N1454">
            <v>0</v>
          </cell>
        </row>
        <row r="1455"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L1455">
            <v>0</v>
          </cell>
          <cell r="M1455">
            <v>0</v>
          </cell>
          <cell r="N1455">
            <v>0</v>
          </cell>
        </row>
        <row r="1456"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L1456">
            <v>0</v>
          </cell>
          <cell r="M1456">
            <v>0</v>
          </cell>
          <cell r="N1456">
            <v>0</v>
          </cell>
        </row>
        <row r="1457"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L1457">
            <v>0</v>
          </cell>
          <cell r="M1457">
            <v>0</v>
          </cell>
          <cell r="N1457">
            <v>0</v>
          </cell>
        </row>
        <row r="1458"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L1458">
            <v>0</v>
          </cell>
          <cell r="M1458">
            <v>0</v>
          </cell>
          <cell r="N1458">
            <v>0</v>
          </cell>
        </row>
        <row r="1459">
          <cell r="G1459">
            <v>0</v>
          </cell>
          <cell r="H1459">
            <v>0</v>
          </cell>
          <cell r="I1459">
            <v>0</v>
          </cell>
          <cell r="J1459">
            <v>0</v>
          </cell>
        </row>
        <row r="1460">
          <cell r="G1460">
            <v>0</v>
          </cell>
          <cell r="H1460">
            <v>0</v>
          </cell>
          <cell r="I1460">
            <v>0</v>
          </cell>
          <cell r="J1460">
            <v>0</v>
          </cell>
        </row>
        <row r="1461">
          <cell r="G1461">
            <v>0</v>
          </cell>
          <cell r="H1461">
            <v>0</v>
          </cell>
          <cell r="I1461">
            <v>0</v>
          </cell>
          <cell r="J1461">
            <v>0</v>
          </cell>
        </row>
        <row r="1462">
          <cell r="J1462">
            <v>0</v>
          </cell>
        </row>
        <row r="1463">
          <cell r="J1463">
            <v>0</v>
          </cell>
        </row>
        <row r="1464">
          <cell r="J1464">
            <v>0</v>
          </cell>
        </row>
        <row r="1465">
          <cell r="J1465">
            <v>0</v>
          </cell>
        </row>
        <row r="1468"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L1468">
            <v>0</v>
          </cell>
          <cell r="M1468">
            <v>0</v>
          </cell>
          <cell r="N1468">
            <v>0</v>
          </cell>
        </row>
        <row r="1469"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L1469">
            <v>0</v>
          </cell>
          <cell r="M1469">
            <v>0</v>
          </cell>
          <cell r="N1469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nd Model License"/>
      <sheetName val="Title"/>
      <sheetName val="Table 1Q Quick Project Analysis"/>
      <sheetName val="SpFor"/>
      <sheetName val="Table 1 Wind Global Inputs"/>
      <sheetName val="Table 1C Wind Annual Inputs"/>
      <sheetName val="Table 1D Data Conversion"/>
      <sheetName val="1 Page Project Summary"/>
      <sheetName val="Table 2 Summary"/>
      <sheetName val="Copy of Table 2 Base Case"/>
      <sheetName val="Comparison with Base Case"/>
      <sheetName val="Table 3 Construction"/>
      <sheetName val="Table 4 Operating Costs"/>
      <sheetName val="Table 5 Debt Service"/>
      <sheetName val="Table 6 Revenues"/>
      <sheetName val="Table 7 Cash Flow -Leveraged"/>
      <sheetName val="Table 7A Cash Flow -Unleveraged"/>
      <sheetName val="Table 8 NPV &amp; IRR -Leveraged"/>
      <sheetName val="Table 8A NPV &amp; IRR -Unleveraged"/>
      <sheetName val="Table 9 Sources - Uses"/>
      <sheetName val="Table 10 Maintenance Reserves"/>
      <sheetName val="Table 11 Financials"/>
      <sheetName val="Table 12 Dollars per MWH"/>
      <sheetName val="Table 13 Depreciation"/>
      <sheetName val="Monthly IRR Inputs"/>
      <sheetName val="Sensitivities"/>
      <sheetName val="EconExpert-WIND Charts"/>
      <sheetName val="Partnership Data for Export"/>
      <sheetName val="Status"/>
      <sheetName val="2010 Corporate State Tax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G1" t="e">
            <v>#VALUE!</v>
          </cell>
          <cell r="H1">
            <v>1</v>
          </cell>
        </row>
      </sheetData>
      <sheetData sheetId="16">
        <row r="1">
          <cell r="G1">
            <v>0</v>
          </cell>
          <cell r="H1">
            <v>1</v>
          </cell>
        </row>
      </sheetData>
      <sheetData sheetId="17">
        <row r="1">
          <cell r="G1" t="e">
            <v>#VALUE!</v>
          </cell>
          <cell r="H1">
            <v>1</v>
          </cell>
        </row>
      </sheetData>
      <sheetData sheetId="18">
        <row r="1">
          <cell r="G1">
            <v>0</v>
          </cell>
          <cell r="H1">
            <v>1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Seguros (PPC)"/>
      <sheetName val="XREF"/>
      <sheetName val="Integración  Pagos Ant. (PPC)"/>
      <sheetName val="Tickmarks"/>
      <sheetName val="Unmet_Need"/>
      <sheetName val="SAR-INFO"/>
      <sheetName val="ER GTS"/>
      <sheetName val="Elim"/>
      <sheetName val="BG GT "/>
      <sheetName val="BG TIH"/>
      <sheetName val="BG GTS "/>
      <sheetName val="BG TSE"/>
      <sheetName val="Bal GT"/>
      <sheetName val=" Part"/>
      <sheetName val="ER GT "/>
      <sheetName val="ER TIH"/>
      <sheetName val="ER TSE"/>
      <sheetName val="ER Con"/>
      <sheetName val="SLS CM"/>
      <sheetName val="uso"/>
      <sheetName val="IMSS"/>
      <sheetName val="Estado"/>
      <sheetName val="FF33-1&amp;"/>
      <sheetName val="2003"/>
      <sheetName val="Muestreo"/>
      <sheetName val="Renta"/>
      <sheetName val="Electricidad"/>
      <sheetName val="ER09"/>
      <sheetName val="SAR E INFONAVIT"/>
      <sheetName val="C-1"/>
      <sheetName val="Significant Processes"/>
      <sheetName val="EMPLEADOS"/>
      <sheetName val="Integracion de Ctas x Pagar"/>
      <sheetName val="ANALYSIS JUNEFOR PP02 old"/>
      <sheetName val="Analysis"/>
      <sheetName val="Amarre (7 CEDULAS)"/>
      <sheetName val="Amarre de Honorarios"/>
      <sheetName val="DEPRECIACION"/>
      <sheetName val="FCCREDITOS"/>
      <sheetName val="FP"/>
      <sheetName val=".1 Lead"/>
      <sheetName val="GASTOS  8310.1"/>
      <sheetName val="Drop-Down Lists"/>
      <sheetName val="Revisión Analitica"/>
      <sheetName val="Resumen"/>
    </sheetNames>
    <sheetDataSet>
      <sheetData sheetId="0"/>
      <sheetData sheetId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Sheet1"/>
      <sheetName val="XREF"/>
      <sheetName val="Tickmarks"/>
      <sheetName val="Lead 5300"/>
      <sheetName val="5300.1"/>
      <sheetName val="5300.3"/>
      <sheetName val="5300.2"/>
      <sheetName val="5300.4"/>
      <sheetName val="Razonabilidad IVA"/>
      <sheetName val="Antiguedades"/>
      <sheetName val="limite"/>
      <sheetName val="Integración"/>
      <sheetName val="Lists"/>
      <sheetName val="Mvt Imobilizado"/>
      <sheetName val="Table Maint"/>
      <sheetName val="Indice"/>
      <sheetName val="1"/>
      <sheetName val="2"/>
      <sheetName val="3"/>
      <sheetName val="4"/>
      <sheetName val="5"/>
      <sheetName val="Planeación"/>
      <sheetName val="ER GTS"/>
      <sheetName val="9-Concentrado PP"/>
      <sheetName val="Gastos_MadridWE"/>
      <sheetName val="Prov Siemens"/>
      <sheetName val="Dpn. Fiscal"/>
      <sheetName val="inventarios"/>
      <sheetName val="AJUSTE INFLAC."/>
      <sheetName val=""/>
      <sheetName val="Consolidated Domestic"/>
      <sheetName val="C-26 IA NA"/>
      <sheetName val="Terreno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édula de Movimientos"/>
      <sheetName val="Revisión SI"/>
      <sheetName val="Revisión Altas"/>
      <sheetName val="Depreciación"/>
      <sheetName val="Límite"/>
      <sheetName val="Tickmarks"/>
      <sheetName val="XREF"/>
      <sheetName val="GtosFab"/>
      <sheetName val="DEP. FINAL"/>
      <sheetName val="Dep. del Ej. y Acum."/>
      <sheetName val="Lead"/>
      <sheetName val="vaciado P.P. IVA"/>
      <sheetName val="5300.3"/>
      <sheetName val="AUT99"/>
      <sheetName val="Warranty Periods"/>
      <sheetName val="Sheet1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ON2001"/>
      <sheetName val="PROMED01"/>
      <sheetName val="DEPFIS01"/>
      <sheetName val="PROV. ND"/>
      <sheetName val="VAC ENE-MZO"/>
      <sheetName val="INGRESOS2000"/>
      <sheetName val="SLDOS"/>
      <sheetName val="ETIQUETA"/>
      <sheetName val="Estado Res."/>
      <sheetName val="Nota 7"/>
      <sheetName val="XREF"/>
      <sheetName val="Tickmarks"/>
      <sheetName val="Cédula de Movimientos"/>
      <sheetName val="Depreciación"/>
      <sheetName val="Revisión gastos Septiembre"/>
      <sheetName val="Empréstimos"/>
      <sheetName val="BB PCH's"/>
      <sheetName val="Umbrales"/>
      <sheetName val="Cobros posteriores"/>
      <sheetName val="REV. LIMITE ADMON"/>
      <sheetName val="Valuación"/>
      <sheetName val="Lead"/>
      <sheetName val="AUT99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ios"/>
      <sheetName val="FreeCashFlow"/>
      <sheetName val="EnterpriseValue"/>
      <sheetName val="Taxes - F$"/>
      <sheetName val="IRR"/>
      <sheetName val="Assumptions"/>
      <sheetName val="Proforma Financials"/>
      <sheetName val="Revenue"/>
      <sheetName val="Customers&amp;Load"/>
      <sheetName val="Expenses"/>
      <sheetName val="CAPEX"/>
      <sheetName val="BookDepreciation"/>
      <sheetName val="TaxDepreciation"/>
      <sheetName val="Financing"/>
      <sheetName val="General Information"/>
      <sheetName val="Inputs"/>
      <sheetName val="High Level - Drivers Control"/>
      <sheetName val="High Level - Projec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7">
          <cell r="C7">
            <v>1996</v>
          </cell>
          <cell r="D7">
            <v>1997</v>
          </cell>
          <cell r="E7">
            <v>1998</v>
          </cell>
          <cell r="F7">
            <v>1999</v>
          </cell>
          <cell r="G7">
            <v>2000</v>
          </cell>
          <cell r="H7">
            <v>2001</v>
          </cell>
          <cell r="I7">
            <v>2002</v>
          </cell>
          <cell r="J7">
            <v>2003</v>
          </cell>
          <cell r="K7">
            <v>2004</v>
          </cell>
          <cell r="L7">
            <v>2005</v>
          </cell>
          <cell r="M7">
            <v>2006</v>
          </cell>
          <cell r="N7">
            <v>2007</v>
          </cell>
          <cell r="O7">
            <v>2008</v>
          </cell>
          <cell r="P7">
            <v>2009</v>
          </cell>
          <cell r="Q7">
            <v>2010</v>
          </cell>
          <cell r="R7">
            <v>2011</v>
          </cell>
          <cell r="S7">
            <v>2012</v>
          </cell>
          <cell r="T7">
            <v>2013</v>
          </cell>
          <cell r="U7">
            <v>2014</v>
          </cell>
          <cell r="V7">
            <v>2015</v>
          </cell>
          <cell r="W7">
            <v>2016</v>
          </cell>
          <cell r="X7">
            <v>2017</v>
          </cell>
          <cell r="Y7">
            <v>2018</v>
          </cell>
          <cell r="Z7">
            <v>2019</v>
          </cell>
          <cell r="AA7">
            <v>2020</v>
          </cell>
        </row>
        <row r="10">
          <cell r="C10">
            <v>1996</v>
          </cell>
          <cell r="D10">
            <v>1997</v>
          </cell>
          <cell r="E10">
            <v>1998</v>
          </cell>
          <cell r="F10">
            <v>1999</v>
          </cell>
          <cell r="G10">
            <v>2000</v>
          </cell>
          <cell r="H10">
            <v>2001</v>
          </cell>
          <cell r="I10">
            <v>2002</v>
          </cell>
          <cell r="J10">
            <v>2003</v>
          </cell>
          <cell r="K10">
            <v>2004</v>
          </cell>
          <cell r="L10">
            <v>2005</v>
          </cell>
          <cell r="M10">
            <v>2006</v>
          </cell>
          <cell r="N10">
            <v>2007</v>
          </cell>
          <cell r="O10">
            <v>2008</v>
          </cell>
          <cell r="P10">
            <v>2009</v>
          </cell>
          <cell r="Q10">
            <v>2010</v>
          </cell>
          <cell r="R10">
            <v>2011</v>
          </cell>
          <cell r="S10">
            <v>2012</v>
          </cell>
          <cell r="T10">
            <v>2013</v>
          </cell>
          <cell r="U10">
            <v>2014</v>
          </cell>
          <cell r="V10">
            <v>2015</v>
          </cell>
          <cell r="W10">
            <v>2016</v>
          </cell>
          <cell r="X10">
            <v>2017</v>
          </cell>
          <cell r="Y10">
            <v>2018</v>
          </cell>
          <cell r="Z10">
            <v>2019</v>
          </cell>
          <cell r="AA10">
            <v>2020</v>
          </cell>
        </row>
        <row r="11">
          <cell r="B11" t="str">
            <v>C$ Devaluation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  <cell r="M11">
            <v>1</v>
          </cell>
          <cell r="N11">
            <v>1</v>
          </cell>
          <cell r="O11">
            <v>1</v>
          </cell>
          <cell r="P11">
            <v>1</v>
          </cell>
          <cell r="Q11">
            <v>1</v>
          </cell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1</v>
          </cell>
          <cell r="AA11">
            <v>1</v>
          </cell>
        </row>
        <row r="13">
          <cell r="C13">
            <v>1996</v>
          </cell>
          <cell r="D13">
            <v>1997</v>
          </cell>
          <cell r="E13">
            <v>1998</v>
          </cell>
          <cell r="F13">
            <v>1999</v>
          </cell>
          <cell r="G13">
            <v>2000</v>
          </cell>
          <cell r="H13">
            <v>2001</v>
          </cell>
          <cell r="I13">
            <v>2002</v>
          </cell>
          <cell r="J13">
            <v>2003</v>
          </cell>
          <cell r="K13">
            <v>2004</v>
          </cell>
          <cell r="L13">
            <v>2005</v>
          </cell>
          <cell r="M13">
            <v>2006</v>
          </cell>
          <cell r="N13">
            <v>2007</v>
          </cell>
          <cell r="O13">
            <v>2008</v>
          </cell>
          <cell r="P13">
            <v>2009</v>
          </cell>
          <cell r="Q13">
            <v>2010</v>
          </cell>
          <cell r="R13">
            <v>2011</v>
          </cell>
          <cell r="S13">
            <v>2012</v>
          </cell>
          <cell r="T13">
            <v>2013</v>
          </cell>
          <cell r="U13">
            <v>2014</v>
          </cell>
          <cell r="V13">
            <v>2015</v>
          </cell>
          <cell r="W13">
            <v>2016</v>
          </cell>
          <cell r="X13">
            <v>2017</v>
          </cell>
          <cell r="Y13">
            <v>2018</v>
          </cell>
          <cell r="Z13">
            <v>2019</v>
          </cell>
          <cell r="AA13">
            <v>2020</v>
          </cell>
        </row>
        <row r="14">
          <cell r="B14" t="str">
            <v>C$/US$ Effective Exchange Rate</v>
          </cell>
          <cell r="C14">
            <v>0.6623</v>
          </cell>
          <cell r="D14">
            <v>0.6623</v>
          </cell>
          <cell r="E14">
            <v>0.6623</v>
          </cell>
          <cell r="F14">
            <v>0.6623</v>
          </cell>
          <cell r="G14">
            <v>0.6623</v>
          </cell>
          <cell r="H14">
            <v>0.6623</v>
          </cell>
          <cell r="I14">
            <v>0.6623</v>
          </cell>
          <cell r="J14">
            <v>0.6623</v>
          </cell>
          <cell r="K14">
            <v>0.6623</v>
          </cell>
          <cell r="L14">
            <v>0.6623</v>
          </cell>
          <cell r="M14">
            <v>0.6623</v>
          </cell>
          <cell r="N14">
            <v>0.6623</v>
          </cell>
          <cell r="O14">
            <v>0.6623</v>
          </cell>
          <cell r="P14">
            <v>0.6623</v>
          </cell>
          <cell r="Q14">
            <v>0.6623</v>
          </cell>
          <cell r="R14">
            <v>0.6623</v>
          </cell>
          <cell r="S14">
            <v>0.6623</v>
          </cell>
          <cell r="T14">
            <v>0.6623</v>
          </cell>
          <cell r="U14">
            <v>0.6623</v>
          </cell>
          <cell r="V14">
            <v>0.6623</v>
          </cell>
          <cell r="W14">
            <v>0.6623</v>
          </cell>
          <cell r="X14">
            <v>0.6623</v>
          </cell>
          <cell r="Y14">
            <v>0.6623</v>
          </cell>
          <cell r="Z14">
            <v>0.6623</v>
          </cell>
          <cell r="AA14">
            <v>0.6623</v>
          </cell>
        </row>
        <row r="23">
          <cell r="E23">
            <v>1998</v>
          </cell>
          <cell r="F23">
            <v>1999</v>
          </cell>
          <cell r="G23">
            <v>2000</v>
          </cell>
          <cell r="H23">
            <v>2001</v>
          </cell>
          <cell r="I23">
            <v>2002</v>
          </cell>
          <cell r="J23">
            <v>2003</v>
          </cell>
          <cell r="K23">
            <v>2004</v>
          </cell>
          <cell r="L23">
            <v>2005</v>
          </cell>
          <cell r="M23">
            <v>2006</v>
          </cell>
          <cell r="N23">
            <v>2007</v>
          </cell>
          <cell r="O23">
            <v>2008</v>
          </cell>
          <cell r="P23">
            <v>2009</v>
          </cell>
          <cell r="Q23">
            <v>2010</v>
          </cell>
          <cell r="R23">
            <v>2011</v>
          </cell>
          <cell r="S23">
            <v>2012</v>
          </cell>
          <cell r="T23">
            <v>2013</v>
          </cell>
          <cell r="U23">
            <v>2014</v>
          </cell>
          <cell r="V23">
            <v>2015</v>
          </cell>
          <cell r="W23">
            <v>2016</v>
          </cell>
          <cell r="X23">
            <v>2017</v>
          </cell>
          <cell r="Y23">
            <v>2018</v>
          </cell>
          <cell r="Z23">
            <v>2019</v>
          </cell>
          <cell r="AA23">
            <v>2020</v>
          </cell>
        </row>
      </sheetData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ity Pla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ity Plan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reciation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53"/>
  <sheetViews>
    <sheetView tabSelected="1" zoomScale="80" zoomScaleNormal="80" workbookViewId="0">
      <selection activeCell="B3" sqref="B3:D3"/>
    </sheetView>
  </sheetViews>
  <sheetFormatPr defaultColWidth="8.85546875" defaultRowHeight="15.75"/>
  <cols>
    <col min="1" max="1" width="5.140625" style="587" customWidth="1"/>
    <col min="2" max="2" width="73.140625" style="4" bestFit="1" customWidth="1"/>
    <col min="3" max="3" width="14.85546875" style="4" customWidth="1"/>
    <col min="4" max="4" width="51.42578125" style="4" bestFit="1" customWidth="1"/>
    <col min="5" max="5" width="5.140625" style="587" customWidth="1"/>
    <col min="6" max="16384" width="8.85546875" style="4"/>
  </cols>
  <sheetData>
    <row r="1" spans="1:7">
      <c r="A1" s="959"/>
      <c r="B1" s="1179"/>
      <c r="C1" s="1179"/>
      <c r="D1" s="1179"/>
      <c r="E1" s="959"/>
    </row>
    <row r="2" spans="1:7">
      <c r="A2" s="959"/>
      <c r="B2" s="1622" t="s">
        <v>17</v>
      </c>
      <c r="C2" s="1622"/>
      <c r="D2" s="1622"/>
      <c r="E2" s="1547"/>
    </row>
    <row r="3" spans="1:7">
      <c r="B3" s="1622" t="s">
        <v>951</v>
      </c>
      <c r="C3" s="1622"/>
      <c r="D3" s="1622"/>
      <c r="E3" s="1184"/>
    </row>
    <row r="4" spans="1:7">
      <c r="B4" s="1622" t="s">
        <v>959</v>
      </c>
      <c r="C4" s="1622"/>
      <c r="D4" s="1622"/>
      <c r="E4" s="1184"/>
    </row>
    <row r="5" spans="1:7">
      <c r="A5" s="959"/>
      <c r="B5" s="1621" t="str">
        <f>"Rate Effective Period January 1, "&amp;Automation!B3+2 &amp;" to December 31, "&amp;Automation!B3+2</f>
        <v>Rate Effective Period January 1, 2021 to December 31, 2021</v>
      </c>
      <c r="C5" s="1621"/>
      <c r="D5" s="1621"/>
      <c r="E5" s="959"/>
    </row>
    <row r="6" spans="1:7">
      <c r="B6" s="1623" t="s">
        <v>2</v>
      </c>
      <c r="C6" s="1622"/>
      <c r="D6" s="1622"/>
      <c r="E6" s="1184"/>
    </row>
    <row r="7" spans="1:7" ht="16.5" thickBot="1">
      <c r="A7" s="959"/>
      <c r="B7" s="1179"/>
      <c r="C7" s="1193"/>
      <c r="D7" s="1193"/>
      <c r="E7" s="959"/>
    </row>
    <row r="8" spans="1:7">
      <c r="A8" s="960" t="s">
        <v>3</v>
      </c>
      <c r="B8" s="904"/>
      <c r="C8" s="905"/>
      <c r="D8" s="906"/>
      <c r="E8" s="961" t="s">
        <v>3</v>
      </c>
    </row>
    <row r="9" spans="1:7">
      <c r="A9" s="960" t="s">
        <v>24</v>
      </c>
      <c r="B9" s="1394" t="s">
        <v>788</v>
      </c>
      <c r="C9" s="1395" t="s">
        <v>123</v>
      </c>
      <c r="D9" s="144" t="s">
        <v>8</v>
      </c>
      <c r="E9" s="961" t="s">
        <v>24</v>
      </c>
    </row>
    <row r="10" spans="1:7">
      <c r="A10" s="960"/>
      <c r="B10" s="142"/>
      <c r="C10" s="85"/>
      <c r="D10" s="145"/>
      <c r="E10" s="961"/>
    </row>
    <row r="11" spans="1:7">
      <c r="A11" s="960">
        <v>1</v>
      </c>
      <c r="B11" s="1432" t="s">
        <v>274</v>
      </c>
      <c r="C11" s="1006">
        <f>'A. Sec.1 - Direct Maintenance'!E27</f>
        <v>0</v>
      </c>
      <c r="D11" s="146" t="str">
        <f>"Section 1; Page 1; Line "&amp;'A. Sec.1 - Direct Maintenance'!A27</f>
        <v>Section 1; Page 1; Line 17</v>
      </c>
      <c r="E11" s="961">
        <f>A11</f>
        <v>1</v>
      </c>
      <c r="G11" s="1194"/>
    </row>
    <row r="12" spans="1:7">
      <c r="A12" s="960">
        <f>A11+1</f>
        <v>2</v>
      </c>
      <c r="B12" s="1197"/>
      <c r="C12" s="1007"/>
      <c r="D12" s="141"/>
      <c r="E12" s="961">
        <f>E11+1</f>
        <v>2</v>
      </c>
    </row>
    <row r="13" spans="1:7">
      <c r="A13" s="960">
        <f t="shared" ref="A13:A28" si="0">A12+1</f>
        <v>3</v>
      </c>
      <c r="B13" s="1432" t="s">
        <v>275</v>
      </c>
      <c r="C13" s="1008">
        <f>'B. Sec.2 - Non-Direct Expenses'!E35</f>
        <v>839.75541697135111</v>
      </c>
      <c r="D13" s="146" t="str">
        <f>"Section 2; Page 1; Line "&amp;'B. Sec.2 - Non-Direct Expenses'!A35</f>
        <v>Section 2; Page 1; Line 25</v>
      </c>
      <c r="E13" s="961">
        <f t="shared" ref="E13:E28" si="1">E12+1</f>
        <v>3</v>
      </c>
      <c r="G13" s="1195"/>
    </row>
    <row r="14" spans="1:7">
      <c r="A14" s="960">
        <f t="shared" si="0"/>
        <v>4</v>
      </c>
      <c r="B14" s="1197"/>
      <c r="C14" s="1007"/>
      <c r="D14" s="147"/>
      <c r="E14" s="961">
        <f t="shared" si="1"/>
        <v>4</v>
      </c>
    </row>
    <row r="15" spans="1:7">
      <c r="A15" s="960">
        <f t="shared" si="0"/>
        <v>5</v>
      </c>
      <c r="B15" s="1396" t="s">
        <v>276</v>
      </c>
      <c r="C15" s="1399">
        <f>'C. Sec.3 - Other Costs'!G42</f>
        <v>7.6948832581114317</v>
      </c>
      <c r="D15" s="1104" t="str">
        <f>"Section 3; Page 1; Line "&amp;'C. Sec.3 - Other Costs'!A42</f>
        <v>Section 3; Page 1; Line 31</v>
      </c>
      <c r="E15" s="961">
        <f t="shared" si="1"/>
        <v>5</v>
      </c>
      <c r="G15" s="1195"/>
    </row>
    <row r="16" spans="1:7">
      <c r="A16" s="960">
        <f t="shared" si="0"/>
        <v>6</v>
      </c>
      <c r="B16" s="88"/>
      <c r="C16" s="1400"/>
      <c r="D16" s="1104"/>
      <c r="E16" s="961">
        <f t="shared" si="1"/>
        <v>6</v>
      </c>
      <c r="G16" s="1195"/>
    </row>
    <row r="17" spans="1:9">
      <c r="A17" s="960">
        <f t="shared" si="0"/>
        <v>7</v>
      </c>
      <c r="B17" s="1397" t="s">
        <v>822</v>
      </c>
      <c r="C17" s="1555">
        <f>C11+C13+C15</f>
        <v>847.45030022946253</v>
      </c>
      <c r="D17" s="151" t="str">
        <f>"Sum Lines "&amp;A11&amp;", "&amp;A13&amp;", "&amp;A15</f>
        <v>Sum Lines 1, 3, 5</v>
      </c>
      <c r="E17" s="961">
        <f t="shared" si="1"/>
        <v>7</v>
      </c>
      <c r="G17" s="1195"/>
    </row>
    <row r="18" spans="1:9">
      <c r="A18" s="960">
        <f t="shared" si="0"/>
        <v>8</v>
      </c>
      <c r="B18" s="143"/>
      <c r="C18" s="1007"/>
      <c r="D18" s="148"/>
      <c r="E18" s="961">
        <f t="shared" si="1"/>
        <v>8</v>
      </c>
    </row>
    <row r="19" spans="1:9">
      <c r="A19" s="960">
        <f t="shared" si="0"/>
        <v>9</v>
      </c>
      <c r="B19" s="1433" t="s">
        <v>568</v>
      </c>
      <c r="C19" s="1107">
        <f>'D. Sec.4 - TU'!M30</f>
        <v>-36.99430750894976</v>
      </c>
      <c r="D19" s="1104" t="str">
        <f>"Section 4; Page TU; Col. 11; Line "&amp;'D. Sec.4 - TU'!A30</f>
        <v>Section 4; Page TU; Col. 11; Line 21</v>
      </c>
      <c r="E19" s="961">
        <f t="shared" si="1"/>
        <v>9</v>
      </c>
    </row>
    <row r="20" spans="1:9">
      <c r="A20" s="960">
        <f t="shared" si="0"/>
        <v>10</v>
      </c>
      <c r="B20" s="1432"/>
      <c r="C20" s="1007"/>
      <c r="D20" s="149"/>
      <c r="E20" s="961">
        <f t="shared" si="1"/>
        <v>10</v>
      </c>
    </row>
    <row r="21" spans="1:9">
      <c r="A21" s="960">
        <f t="shared" si="0"/>
        <v>11</v>
      </c>
      <c r="B21" s="1432" t="s">
        <v>277</v>
      </c>
      <c r="C21" s="1343">
        <f>'E1. Sec.5 - Interest TU (CY)'!H30</f>
        <v>0</v>
      </c>
      <c r="D21" s="151" t="str">
        <f>"Section 5; Page Interest TU (CY); Col. 6; Line "&amp;'E1. Sec.5 - Interest TU (CY)'!A30</f>
        <v>Section 5; Page Interest TU (CY); Col. 6; Line 20</v>
      </c>
      <c r="E21" s="961">
        <f t="shared" si="1"/>
        <v>11</v>
      </c>
    </row>
    <row r="22" spans="1:9">
      <c r="A22" s="960">
        <f t="shared" si="0"/>
        <v>12</v>
      </c>
      <c r="B22" s="88"/>
      <c r="C22" s="1005"/>
      <c r="D22" s="150"/>
      <c r="E22" s="961">
        <f t="shared" si="1"/>
        <v>12</v>
      </c>
    </row>
    <row r="23" spans="1:9">
      <c r="A23" s="960">
        <f t="shared" si="0"/>
        <v>13</v>
      </c>
      <c r="B23" s="88" t="s">
        <v>789</v>
      </c>
      <c r="C23" s="314">
        <f>C17+C19+C21</f>
        <v>810.45599272051277</v>
      </c>
      <c r="D23" s="151" t="str">
        <f>"Sum Lines "&amp;A17&amp;", "&amp;A19&amp;", "&amp;A21</f>
        <v>Sum Lines 7, 9, 11</v>
      </c>
      <c r="E23" s="961">
        <f t="shared" si="1"/>
        <v>13</v>
      </c>
      <c r="G23" s="1195"/>
    </row>
    <row r="24" spans="1:9">
      <c r="A24" s="960">
        <f t="shared" si="0"/>
        <v>14</v>
      </c>
      <c r="B24" s="1344"/>
      <c r="C24" s="316"/>
      <c r="D24" s="151"/>
      <c r="E24" s="961">
        <f t="shared" si="1"/>
        <v>14</v>
      </c>
      <c r="G24" s="1195"/>
    </row>
    <row r="25" spans="1:9">
      <c r="A25" s="960">
        <f t="shared" si="0"/>
        <v>15</v>
      </c>
      <c r="B25" s="1396" t="s">
        <v>790</v>
      </c>
      <c r="C25" s="1448">
        <v>0</v>
      </c>
      <c r="D25" s="151" t="s">
        <v>819</v>
      </c>
      <c r="E25" s="961">
        <f t="shared" si="1"/>
        <v>15</v>
      </c>
      <c r="G25" s="1195"/>
    </row>
    <row r="26" spans="1:9">
      <c r="A26" s="960">
        <f t="shared" si="0"/>
        <v>16</v>
      </c>
      <c r="B26" s="97"/>
      <c r="C26" s="1009"/>
      <c r="D26" s="150"/>
      <c r="E26" s="961">
        <f t="shared" si="1"/>
        <v>16</v>
      </c>
    </row>
    <row r="27" spans="1:9" ht="16.5" thickBot="1">
      <c r="A27" s="960">
        <f t="shared" si="0"/>
        <v>17</v>
      </c>
      <c r="B27" s="1397" t="s">
        <v>791</v>
      </c>
      <c r="C27" s="1010">
        <f>C23+C25</f>
        <v>810.45599272051277</v>
      </c>
      <c r="D27" s="150" t="str">
        <f>"Line "&amp;A23&amp;" + Line "&amp;A25</f>
        <v>Line 13 + Line 15</v>
      </c>
      <c r="E27" s="961">
        <f t="shared" si="1"/>
        <v>17</v>
      </c>
      <c r="H27" s="1194"/>
      <c r="I27" s="1196"/>
    </row>
    <row r="28" spans="1:9" ht="17.25" thickTop="1" thickBot="1">
      <c r="A28" s="960">
        <f t="shared" si="0"/>
        <v>18</v>
      </c>
      <c r="B28" s="86"/>
      <c r="C28" s="86"/>
      <c r="D28" s="153"/>
      <c r="E28" s="961">
        <f t="shared" si="1"/>
        <v>18</v>
      </c>
    </row>
    <row r="30" spans="1:9" ht="16.5" thickBot="1">
      <c r="A30" s="959"/>
      <c r="B30" s="1115"/>
      <c r="C30" s="1116"/>
      <c r="D30" s="1116"/>
      <c r="E30" s="959"/>
    </row>
    <row r="31" spans="1:9">
      <c r="A31" s="960" t="s">
        <v>3</v>
      </c>
      <c r="B31" s="84"/>
      <c r="C31" s="84"/>
      <c r="D31" s="141"/>
      <c r="E31" s="961" t="s">
        <v>3</v>
      </c>
    </row>
    <row r="32" spans="1:9">
      <c r="A32" s="960" t="s">
        <v>24</v>
      </c>
      <c r="B32" s="1394" t="s">
        <v>792</v>
      </c>
      <c r="C32" s="1395" t="str">
        <f>C9</f>
        <v>Amounts</v>
      </c>
      <c r="D32" s="144" t="str">
        <f>D9</f>
        <v>Reference</v>
      </c>
      <c r="E32" s="961" t="s">
        <v>24</v>
      </c>
    </row>
    <row r="33" spans="1:5">
      <c r="A33" s="960">
        <f>A28+1</f>
        <v>19</v>
      </c>
      <c r="B33" s="83"/>
      <c r="C33" s="85"/>
      <c r="D33" s="145"/>
      <c r="E33" s="961">
        <f>E28+1</f>
        <v>19</v>
      </c>
    </row>
    <row r="34" spans="1:5">
      <c r="A34" s="960">
        <f>A33+1</f>
        <v>20</v>
      </c>
      <c r="B34" s="1432" t="str">
        <f>B11</f>
        <v>Section 1 - Direct Maintenance Expense Cost Component</v>
      </c>
      <c r="C34" s="1427">
        <f>C11/12</f>
        <v>0</v>
      </c>
      <c r="D34" s="146" t="str">
        <f>"Line "&amp;A11&amp;" / "&amp;C50&amp;" Months"</f>
        <v>Line 1 / 12 Months</v>
      </c>
      <c r="E34" s="961">
        <f>E33+1</f>
        <v>20</v>
      </c>
    </row>
    <row r="35" spans="1:5">
      <c r="A35" s="960">
        <f t="shared" ref="A35:A53" si="2">A34+1</f>
        <v>21</v>
      </c>
      <c r="B35" s="1197"/>
      <c r="C35" s="32"/>
      <c r="D35" s="140"/>
      <c r="E35" s="961">
        <f t="shared" ref="E35:E53" si="3">E34+1</f>
        <v>21</v>
      </c>
    </row>
    <row r="36" spans="1:5">
      <c r="A36" s="960">
        <f t="shared" si="2"/>
        <v>22</v>
      </c>
      <c r="B36" s="1432" t="str">
        <f>B13</f>
        <v>Section 2 - Non-Direct Expense Cost Component</v>
      </c>
      <c r="C36" s="1428">
        <f>C13/12</f>
        <v>69.979618080945926</v>
      </c>
      <c r="D36" s="146" t="str">
        <f>"Line "&amp;A13&amp;" / "&amp;C50&amp;" Months"</f>
        <v>Line 3 / 12 Months</v>
      </c>
      <c r="E36" s="961">
        <f t="shared" si="3"/>
        <v>22</v>
      </c>
    </row>
    <row r="37" spans="1:5">
      <c r="A37" s="960">
        <f t="shared" si="2"/>
        <v>23</v>
      </c>
      <c r="B37" s="1197"/>
      <c r="C37" s="1348"/>
      <c r="D37" s="154"/>
      <c r="E37" s="961">
        <f t="shared" si="3"/>
        <v>23</v>
      </c>
    </row>
    <row r="38" spans="1:5">
      <c r="A38" s="960">
        <f t="shared" si="2"/>
        <v>24</v>
      </c>
      <c r="B38" s="1432" t="str">
        <f>B15</f>
        <v>Section 3 - Cost Component Containing Other Specific Expenses</v>
      </c>
      <c r="C38" s="1429">
        <f>C15/12</f>
        <v>0.64124027150928598</v>
      </c>
      <c r="D38" s="146" t="str">
        <f>"Line "&amp;A15&amp;" / "&amp;C50&amp;" Months"</f>
        <v>Line 5 / 12 Months</v>
      </c>
      <c r="E38" s="961">
        <f t="shared" si="3"/>
        <v>24</v>
      </c>
    </row>
    <row r="39" spans="1:5">
      <c r="A39" s="960">
        <f t="shared" si="2"/>
        <v>25</v>
      </c>
      <c r="B39" s="143"/>
      <c r="C39" s="1347"/>
      <c r="D39" s="1434"/>
      <c r="E39" s="961">
        <f t="shared" si="3"/>
        <v>25</v>
      </c>
    </row>
    <row r="40" spans="1:5">
      <c r="A40" s="960">
        <f t="shared" si="2"/>
        <v>26</v>
      </c>
      <c r="B40" s="1397" t="s">
        <v>823</v>
      </c>
      <c r="C40" s="1556">
        <f>C34+C36+C38</f>
        <v>70.620858352455215</v>
      </c>
      <c r="D40" s="151" t="str">
        <f>"Sum Lines "&amp;A34&amp;", "&amp;A36&amp;", "&amp;A38</f>
        <v>Sum Lines 20, 22, 24</v>
      </c>
      <c r="E40" s="961">
        <f t="shared" si="3"/>
        <v>26</v>
      </c>
    </row>
    <row r="41" spans="1:5">
      <c r="A41" s="960">
        <f t="shared" si="2"/>
        <v>27</v>
      </c>
      <c r="B41" s="83"/>
      <c r="C41" s="1348"/>
      <c r="D41" s="147"/>
      <c r="E41" s="961">
        <f t="shared" si="3"/>
        <v>27</v>
      </c>
    </row>
    <row r="42" spans="1:5">
      <c r="A42" s="960">
        <f t="shared" si="2"/>
        <v>28</v>
      </c>
      <c r="B42" s="1432" t="str">
        <f>LEFT(B19,45)</f>
        <v>Section 4 - True-Up Adjustment Cost Component</v>
      </c>
      <c r="C42" s="1428">
        <f>C19/12</f>
        <v>-3.0828589590791466</v>
      </c>
      <c r="D42" s="146" t="str">
        <f>"Line "&amp;A19&amp;" / "&amp;C50&amp;" Months"</f>
        <v>Line 9 / 12 Months</v>
      </c>
      <c r="E42" s="961">
        <f t="shared" si="3"/>
        <v>28</v>
      </c>
    </row>
    <row r="43" spans="1:5">
      <c r="A43" s="960">
        <f t="shared" si="2"/>
        <v>29</v>
      </c>
      <c r="B43" s="1432"/>
      <c r="C43" s="1348"/>
      <c r="D43" s="155"/>
      <c r="E43" s="961">
        <f t="shared" si="3"/>
        <v>29</v>
      </c>
    </row>
    <row r="44" spans="1:5">
      <c r="A44" s="960">
        <f t="shared" si="2"/>
        <v>30</v>
      </c>
      <c r="B44" s="1432" t="str">
        <f>B21</f>
        <v>Section 5 - Interest True-Up Adjustment Cost Component</v>
      </c>
      <c r="C44" s="1428">
        <f>C21/12</f>
        <v>0</v>
      </c>
      <c r="D44" s="150" t="str">
        <f>"Line "&amp;A21&amp;" / "&amp;C50&amp;" Months"</f>
        <v>Line 11 / 12 Months</v>
      </c>
      <c r="E44" s="961">
        <f t="shared" si="3"/>
        <v>30</v>
      </c>
    </row>
    <row r="45" spans="1:5">
      <c r="A45" s="960">
        <f t="shared" si="2"/>
        <v>31</v>
      </c>
      <c r="B45" s="143"/>
      <c r="C45" s="1349"/>
      <c r="D45" s="152"/>
      <c r="E45" s="961">
        <f t="shared" si="3"/>
        <v>31</v>
      </c>
    </row>
    <row r="46" spans="1:5">
      <c r="A46" s="960">
        <f t="shared" si="2"/>
        <v>32</v>
      </c>
      <c r="B46" s="1396" t="str">
        <f>B25</f>
        <v>Other Adjustments</v>
      </c>
      <c r="C46" s="1430">
        <f>C25/12</f>
        <v>0</v>
      </c>
      <c r="D46" s="150" t="str">
        <f>"Line "&amp;A25&amp;" / "&amp;C50&amp;" Months"</f>
        <v>Line 15 / 12 Months</v>
      </c>
      <c r="E46" s="961">
        <f t="shared" si="3"/>
        <v>32</v>
      </c>
    </row>
    <row r="47" spans="1:5">
      <c r="A47" s="960">
        <f t="shared" si="2"/>
        <v>33</v>
      </c>
      <c r="B47" s="88"/>
      <c r="C47" s="1351"/>
      <c r="D47" s="1345"/>
      <c r="E47" s="961">
        <f t="shared" si="3"/>
        <v>33</v>
      </c>
    </row>
    <row r="48" spans="1:5" ht="16.5" thickBot="1">
      <c r="A48" s="960">
        <f t="shared" si="2"/>
        <v>34</v>
      </c>
      <c r="B48" s="88" t="s">
        <v>793</v>
      </c>
      <c r="C48" s="1435">
        <f>C40+C42+C44+C46</f>
        <v>67.537999393376069</v>
      </c>
      <c r="D48" s="151" t="str">
        <f>"Sum Lines "&amp;A40&amp;", "&amp;A42&amp;", "&amp;A44&amp;", "&amp;A46</f>
        <v>Sum Lines 26, 28, 30, 32</v>
      </c>
      <c r="E48" s="961">
        <f t="shared" si="3"/>
        <v>34</v>
      </c>
    </row>
    <row r="49" spans="1:5" ht="16.5" thickTop="1">
      <c r="A49" s="960">
        <f t="shared" si="2"/>
        <v>35</v>
      </c>
      <c r="B49" s="83"/>
      <c r="C49" s="31"/>
      <c r="D49" s="156"/>
      <c r="E49" s="961">
        <f t="shared" si="3"/>
        <v>35</v>
      </c>
    </row>
    <row r="50" spans="1:5">
      <c r="A50" s="960">
        <f t="shared" si="2"/>
        <v>36</v>
      </c>
      <c r="B50" s="1197" t="s">
        <v>681</v>
      </c>
      <c r="C50" s="926">
        <v>12</v>
      </c>
      <c r="D50" s="156"/>
      <c r="E50" s="961">
        <f t="shared" si="3"/>
        <v>36</v>
      </c>
    </row>
    <row r="51" spans="1:5">
      <c r="A51" s="960">
        <f t="shared" si="2"/>
        <v>37</v>
      </c>
      <c r="B51" s="83"/>
      <c r="C51" s="31"/>
      <c r="D51" s="157"/>
      <c r="E51" s="961">
        <f t="shared" si="3"/>
        <v>37</v>
      </c>
    </row>
    <row r="52" spans="1:5" ht="16.5" thickBot="1">
      <c r="A52" s="960">
        <f t="shared" si="2"/>
        <v>38</v>
      </c>
      <c r="B52" s="1397" t="str">
        <f>B27</f>
        <v>Total Annual Costs</v>
      </c>
      <c r="C52" s="1003">
        <f>C48*C50</f>
        <v>810.45599272051277</v>
      </c>
      <c r="D52" s="150" t="str">
        <f>"Line "&amp;A48&amp;" x Line "&amp;A50</f>
        <v>Line 34 x Line 36</v>
      </c>
      <c r="E52" s="961">
        <f t="shared" si="3"/>
        <v>38</v>
      </c>
    </row>
    <row r="53" spans="1:5" ht="17.25" thickTop="1" thickBot="1">
      <c r="A53" s="960">
        <f t="shared" si="2"/>
        <v>39</v>
      </c>
      <c r="B53" s="87"/>
      <c r="C53" s="30"/>
      <c r="D53" s="158"/>
      <c r="E53" s="961">
        <f t="shared" si="3"/>
        <v>39</v>
      </c>
    </row>
  </sheetData>
  <mergeCells count="5">
    <mergeCell ref="B5:D5"/>
    <mergeCell ref="B3:D3"/>
    <mergeCell ref="B4:D4"/>
    <mergeCell ref="B6:D6"/>
    <mergeCell ref="B2:D2"/>
  </mergeCells>
  <printOptions horizontalCentered="1"/>
  <pageMargins left="0.5" right="0.5" top="0.5" bottom="0.5" header="0.25" footer="0.25"/>
  <pageSetup scale="63" orientation="portrait" r:id="rId1"/>
  <headerFooter scaleWithDoc="0">
    <oddFooter>&amp;C&amp;"Times New Roman,Regular"&amp;10Summary of Cost Components
Page 1 of 1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77"/>
  <sheetViews>
    <sheetView zoomScale="80" zoomScaleNormal="80" zoomScalePageLayoutView="80" workbookViewId="0">
      <selection activeCell="C7" sqref="C7"/>
    </sheetView>
  </sheetViews>
  <sheetFormatPr defaultColWidth="8.85546875" defaultRowHeight="15.75"/>
  <cols>
    <col min="1" max="1" width="5.140625" style="919" bestFit="1" customWidth="1"/>
    <col min="2" max="2" width="55.85546875" style="227" customWidth="1"/>
    <col min="3" max="3" width="24" style="187" customWidth="1"/>
    <col min="4" max="4" width="1.5703125" style="227" customWidth="1"/>
    <col min="5" max="5" width="16.85546875" style="227" customWidth="1"/>
    <col min="6" max="6" width="1.5703125" style="227" customWidth="1"/>
    <col min="7" max="7" width="16.85546875" style="227" customWidth="1"/>
    <col min="8" max="8" width="1.5703125" style="227" customWidth="1"/>
    <col min="9" max="9" width="16.85546875" style="227" customWidth="1"/>
    <col min="10" max="10" width="1.5703125" style="227" customWidth="1"/>
    <col min="11" max="11" width="34.5703125" style="241" customWidth="1"/>
    <col min="12" max="12" width="5.140625" style="919" bestFit="1" customWidth="1"/>
    <col min="13" max="13" width="8.85546875" style="227"/>
    <col min="14" max="14" width="38.140625" style="227" customWidth="1"/>
    <col min="15" max="16384" width="8.85546875" style="227"/>
  </cols>
  <sheetData>
    <row r="1" spans="1:14">
      <c r="A1" s="919" t="s">
        <v>9</v>
      </c>
    </row>
    <row r="2" spans="1:14">
      <c r="A2" s="917"/>
      <c r="B2" s="1641" t="s">
        <v>17</v>
      </c>
      <c r="C2" s="1641"/>
      <c r="D2" s="1641"/>
      <c r="E2" s="1641"/>
      <c r="F2" s="1641"/>
      <c r="G2" s="1641"/>
      <c r="H2" s="1641"/>
      <c r="I2" s="1641"/>
      <c r="J2" s="1641"/>
      <c r="K2" s="1641"/>
      <c r="N2" s="719"/>
    </row>
    <row r="3" spans="1:14">
      <c r="A3" s="917"/>
      <c r="B3" s="1641" t="s">
        <v>1023</v>
      </c>
      <c r="C3" s="1641"/>
      <c r="D3" s="1641"/>
      <c r="E3" s="1641"/>
      <c r="F3" s="1641"/>
      <c r="G3" s="1641"/>
      <c r="H3" s="1642"/>
      <c r="I3" s="1642"/>
      <c r="J3" s="1642"/>
      <c r="K3" s="1642"/>
      <c r="N3" s="719"/>
    </row>
    <row r="4" spans="1:14">
      <c r="A4" s="917"/>
      <c r="B4" s="1641" t="s">
        <v>1</v>
      </c>
      <c r="C4" s="1641"/>
      <c r="D4" s="1641"/>
      <c r="E4" s="1641"/>
      <c r="F4" s="1641"/>
      <c r="G4" s="1641"/>
      <c r="H4" s="1643"/>
      <c r="I4" s="1643"/>
      <c r="J4" s="1643"/>
      <c r="K4" s="1643"/>
    </row>
    <row r="5" spans="1:14">
      <c r="A5" s="580"/>
      <c r="B5" s="1644" t="str">
        <f>'A. Sec.1 - Direct Maintenance'!B5</f>
        <v>Base Period &amp; True-Up Period 12 - Months Ending December 31, 2019</v>
      </c>
      <c r="C5" s="1644"/>
      <c r="D5" s="1644"/>
      <c r="E5" s="1644"/>
      <c r="F5" s="1644"/>
      <c r="G5" s="1644"/>
      <c r="H5" s="1645"/>
      <c r="I5" s="1645"/>
      <c r="J5" s="1645"/>
      <c r="K5" s="1645"/>
      <c r="L5" s="580"/>
      <c r="N5" s="170"/>
    </row>
    <row r="6" spans="1:14">
      <c r="A6" s="580"/>
      <c r="B6" s="1646" t="s">
        <v>2</v>
      </c>
      <c r="C6" s="1643"/>
      <c r="D6" s="1643"/>
      <c r="E6" s="1643"/>
      <c r="F6" s="1643"/>
      <c r="G6" s="1643"/>
      <c r="H6" s="1643"/>
      <c r="I6" s="1643"/>
      <c r="J6" s="1643"/>
      <c r="K6" s="1643"/>
      <c r="L6" s="580"/>
      <c r="N6" s="719"/>
    </row>
    <row r="7" spans="1:14">
      <c r="A7" s="580"/>
      <c r="B7" s="679"/>
      <c r="C7" s="169"/>
      <c r="D7" s="170"/>
      <c r="E7" s="170"/>
      <c r="F7" s="170"/>
      <c r="G7" s="170"/>
      <c r="H7" s="170"/>
      <c r="I7" s="170"/>
      <c r="J7" s="170"/>
      <c r="K7" s="170"/>
      <c r="L7" s="580"/>
      <c r="N7" s="719"/>
    </row>
    <row r="8" spans="1:14">
      <c r="A8" s="580" t="s">
        <v>3</v>
      </c>
      <c r="B8" s="600"/>
      <c r="C8" s="583" t="s">
        <v>472</v>
      </c>
      <c r="D8" s="600"/>
      <c r="E8" s="657" t="s">
        <v>4</v>
      </c>
      <c r="F8" s="580"/>
      <c r="G8" s="657" t="s">
        <v>5</v>
      </c>
      <c r="H8" s="580"/>
      <c r="I8" s="657" t="s">
        <v>6</v>
      </c>
      <c r="J8" s="600"/>
      <c r="L8" s="580" t="s">
        <v>3</v>
      </c>
    </row>
    <row r="9" spans="1:14">
      <c r="A9" s="584" t="s">
        <v>24</v>
      </c>
      <c r="B9" s="600"/>
      <c r="C9" s="585" t="s">
        <v>473</v>
      </c>
      <c r="D9" s="600"/>
      <c r="E9" s="720" t="str">
        <f>"31-Dec-"&amp;RIGHT(Automation!$B$3-1,2)</f>
        <v>31-Dec-18</v>
      </c>
      <c r="F9" s="600"/>
      <c r="G9" s="721" t="str">
        <f>"31-Dec-"&amp;RIGHT(Automation!$B$3,2)</f>
        <v>31-Dec-19</v>
      </c>
      <c r="H9" s="600"/>
      <c r="I9" s="601" t="s">
        <v>7</v>
      </c>
      <c r="J9" s="600"/>
      <c r="K9" s="722" t="s">
        <v>8</v>
      </c>
      <c r="L9" s="584" t="s">
        <v>24</v>
      </c>
      <c r="M9" s="347"/>
      <c r="N9" s="397"/>
    </row>
    <row r="10" spans="1:14">
      <c r="A10" s="580"/>
      <c r="B10" s="655"/>
      <c r="E10" s="723"/>
      <c r="G10" s="723"/>
      <c r="H10" s="723"/>
      <c r="I10" s="723"/>
      <c r="J10" s="723"/>
      <c r="K10" s="724"/>
      <c r="L10" s="580"/>
    </row>
    <row r="11" spans="1:14" ht="18.75">
      <c r="A11" s="580">
        <v>1</v>
      </c>
      <c r="B11" s="1114" t="s">
        <v>682</v>
      </c>
      <c r="C11" s="292" t="s">
        <v>672</v>
      </c>
      <c r="E11" s="616"/>
      <c r="G11" s="616"/>
      <c r="H11" s="713"/>
      <c r="I11" s="669">
        <f>'AD-1'!E31</f>
        <v>549685.71425000008</v>
      </c>
      <c r="J11" s="603"/>
      <c r="K11" s="725" t="str">
        <f>"AD-1; Line "&amp;'AD-1'!A31</f>
        <v>AD-1; Line 18</v>
      </c>
      <c r="L11" s="580">
        <f>A11</f>
        <v>1</v>
      </c>
    </row>
    <row r="12" spans="1:14">
      <c r="A12" s="580">
        <f t="shared" ref="A12:A45" si="0">+A11+1</f>
        <v>2</v>
      </c>
      <c r="B12" s="1114" t="s">
        <v>9</v>
      </c>
      <c r="C12" s="292"/>
      <c r="E12" s="616"/>
      <c r="G12" s="616"/>
      <c r="H12" s="607"/>
      <c r="I12" s="616"/>
      <c r="J12" s="607"/>
      <c r="K12" s="725"/>
      <c r="L12" s="580">
        <f t="shared" ref="L12:L45" si="1">+L11+1</f>
        <v>2</v>
      </c>
    </row>
    <row r="13" spans="1:14" ht="18.75">
      <c r="A13" s="580">
        <f t="shared" si="0"/>
        <v>3</v>
      </c>
      <c r="B13" s="1114" t="s">
        <v>683</v>
      </c>
      <c r="C13" s="292" t="s">
        <v>672</v>
      </c>
      <c r="E13" s="616"/>
      <c r="G13" s="616"/>
      <c r="H13" s="713"/>
      <c r="I13" s="672">
        <f>'AD-2'!E31</f>
        <v>0</v>
      </c>
      <c r="J13" s="603"/>
      <c r="K13" s="725" t="str">
        <f>"AD-2; Line "&amp;'AD-2'!A31</f>
        <v>AD-2; Line 18</v>
      </c>
      <c r="L13" s="580">
        <f t="shared" si="1"/>
        <v>3</v>
      </c>
    </row>
    <row r="14" spans="1:14">
      <c r="A14" s="580">
        <f t="shared" si="0"/>
        <v>4</v>
      </c>
      <c r="B14" s="1114"/>
      <c r="C14" s="292"/>
      <c r="E14" s="616"/>
      <c r="F14" s="170"/>
      <c r="G14" s="616"/>
      <c r="H14" s="607"/>
      <c r="I14" s="616"/>
      <c r="J14" s="607"/>
      <c r="K14" s="725"/>
      <c r="L14" s="580">
        <f t="shared" si="1"/>
        <v>4</v>
      </c>
    </row>
    <row r="15" spans="1:14" ht="18.75">
      <c r="A15" s="580">
        <f t="shared" si="0"/>
        <v>5</v>
      </c>
      <c r="B15" s="1114" t="s">
        <v>684</v>
      </c>
      <c r="C15" s="292"/>
      <c r="E15" s="616"/>
      <c r="F15" s="170"/>
      <c r="G15" s="616"/>
      <c r="H15" s="713"/>
      <c r="I15" s="672">
        <f>'AD-3'!E31</f>
        <v>0</v>
      </c>
      <c r="J15" s="607"/>
      <c r="K15" s="725" t="str">
        <f>"AD-3; Line "&amp;'AD-3'!A31</f>
        <v>AD-3; Line 18</v>
      </c>
      <c r="L15" s="580">
        <f t="shared" si="1"/>
        <v>5</v>
      </c>
    </row>
    <row r="16" spans="1:14">
      <c r="A16" s="580">
        <f t="shared" si="0"/>
        <v>6</v>
      </c>
      <c r="B16" s="1114"/>
      <c r="C16" s="292"/>
      <c r="E16" s="616"/>
      <c r="F16" s="170"/>
      <c r="G16" s="616"/>
      <c r="H16" s="607"/>
      <c r="I16" s="616"/>
      <c r="J16" s="607"/>
      <c r="K16" s="725"/>
      <c r="L16" s="580">
        <f t="shared" si="1"/>
        <v>6</v>
      </c>
    </row>
    <row r="17" spans="1:13" ht="18.75">
      <c r="A17" s="580">
        <f t="shared" si="0"/>
        <v>7</v>
      </c>
      <c r="B17" s="1114" t="s">
        <v>685</v>
      </c>
      <c r="C17" s="292" t="s">
        <v>672</v>
      </c>
      <c r="E17" s="615"/>
      <c r="F17" s="206"/>
      <c r="G17" s="615"/>
      <c r="H17" s="708"/>
      <c r="I17" s="659">
        <f>'AD-4'!E31</f>
        <v>523339.62325846136</v>
      </c>
      <c r="J17" s="603"/>
      <c r="K17" s="725" t="str">
        <f>"AD-4; Line "&amp;'AD-4'!A31</f>
        <v>AD-4; Line 18</v>
      </c>
      <c r="L17" s="580">
        <f t="shared" si="1"/>
        <v>7</v>
      </c>
    </row>
    <row r="18" spans="1:13">
      <c r="A18" s="580">
        <f t="shared" si="0"/>
        <v>8</v>
      </c>
      <c r="B18" s="1114"/>
      <c r="C18" s="292"/>
      <c r="E18" s="615"/>
      <c r="F18" s="170"/>
      <c r="G18" s="615"/>
      <c r="H18" s="656"/>
      <c r="I18" s="615"/>
      <c r="J18" s="656"/>
      <c r="K18" s="725"/>
      <c r="L18" s="580">
        <f t="shared" si="1"/>
        <v>8</v>
      </c>
    </row>
    <row r="19" spans="1:13" ht="18.75">
      <c r="A19" s="580">
        <f>+A18+1</f>
        <v>9</v>
      </c>
      <c r="B19" s="1114" t="s">
        <v>686</v>
      </c>
      <c r="C19" s="292" t="s">
        <v>672</v>
      </c>
      <c r="E19" s="711">
        <f>'AD-5'!E15</f>
        <v>6940409.5029000007</v>
      </c>
      <c r="F19" s="543"/>
      <c r="G19" s="711">
        <f>'AD-5'!E17</f>
        <v>7414162.6777100004</v>
      </c>
      <c r="H19" s="708"/>
      <c r="I19" s="615">
        <f>(E19+G19)/2</f>
        <v>7177286.0903050005</v>
      </c>
      <c r="J19" s="607"/>
      <c r="K19" s="726" t="str">
        <f>"AD-5; Line "&amp;'AD-5'!A20</f>
        <v>AD-5; Line 6</v>
      </c>
      <c r="L19" s="580">
        <f>+L18+1</f>
        <v>9</v>
      </c>
    </row>
    <row r="20" spans="1:13">
      <c r="A20" s="584">
        <f t="shared" si="0"/>
        <v>10</v>
      </c>
      <c r="B20" s="267"/>
      <c r="C20" s="727"/>
      <c r="D20" s="267"/>
      <c r="E20" s="615"/>
      <c r="F20" s="267"/>
      <c r="G20" s="615"/>
      <c r="H20" s="656"/>
      <c r="I20" s="615"/>
      <c r="J20" s="656"/>
      <c r="K20" s="728"/>
      <c r="L20" s="584">
        <f t="shared" si="1"/>
        <v>10</v>
      </c>
    </row>
    <row r="21" spans="1:13" ht="18.75">
      <c r="A21" s="584">
        <f t="shared" si="0"/>
        <v>11</v>
      </c>
      <c r="B21" s="267" t="s">
        <v>687</v>
      </c>
      <c r="C21" s="292" t="s">
        <v>672</v>
      </c>
      <c r="D21" s="267"/>
      <c r="E21" s="708"/>
      <c r="F21" s="267"/>
      <c r="G21" s="708"/>
      <c r="H21" s="708"/>
      <c r="I21" s="661">
        <f>'AD-6'!E36</f>
        <v>6197907.0110930772</v>
      </c>
      <c r="J21" s="603"/>
      <c r="K21" s="726" t="str">
        <f>"AD-6; Line "&amp;'AD-6'!A36</f>
        <v>AD-6; Line 23</v>
      </c>
      <c r="L21" s="584">
        <f t="shared" si="1"/>
        <v>11</v>
      </c>
    </row>
    <row r="22" spans="1:13" s="1340" customFormat="1">
      <c r="A22" s="584">
        <f t="shared" si="0"/>
        <v>12</v>
      </c>
      <c r="B22" s="267"/>
      <c r="C22" s="292"/>
      <c r="D22" s="267"/>
      <c r="E22" s="708"/>
      <c r="F22" s="267"/>
      <c r="G22" s="708"/>
      <c r="H22" s="708"/>
      <c r="I22" s="636"/>
      <c r="J22" s="603"/>
      <c r="K22" s="726"/>
      <c r="L22" s="584">
        <f t="shared" si="1"/>
        <v>12</v>
      </c>
    </row>
    <row r="23" spans="1:13" s="1340" customFormat="1" ht="18.75">
      <c r="A23" s="584">
        <f t="shared" si="0"/>
        <v>13</v>
      </c>
      <c r="B23" s="267" t="s">
        <v>922</v>
      </c>
      <c r="C23" s="292"/>
      <c r="D23" s="267"/>
      <c r="E23" s="708"/>
      <c r="F23" s="267"/>
      <c r="G23" s="708"/>
      <c r="H23" s="708"/>
      <c r="I23" s="661">
        <f>'AD-7'!E32</f>
        <v>0</v>
      </c>
      <c r="J23" s="603"/>
      <c r="K23" s="729" t="str">
        <f>"AD-7; Line "&amp;'AD-7'!A32</f>
        <v>AD-7; Line 18</v>
      </c>
      <c r="L23" s="584">
        <f t="shared" si="1"/>
        <v>13</v>
      </c>
    </row>
    <row r="24" spans="1:13">
      <c r="A24" s="584">
        <f t="shared" si="0"/>
        <v>14</v>
      </c>
      <c r="B24" s="267"/>
      <c r="C24" s="727"/>
      <c r="D24" s="267"/>
      <c r="E24" s="615"/>
      <c r="F24" s="267"/>
      <c r="G24" s="615"/>
      <c r="H24" s="656"/>
      <c r="I24" s="615"/>
      <c r="J24" s="656"/>
      <c r="K24" s="728"/>
      <c r="L24" s="584">
        <f t="shared" si="1"/>
        <v>14</v>
      </c>
    </row>
    <row r="25" spans="1:13" ht="18.75">
      <c r="A25" s="584">
        <f t="shared" si="0"/>
        <v>15</v>
      </c>
      <c r="B25" s="1114" t="s">
        <v>688</v>
      </c>
      <c r="C25" s="292" t="s">
        <v>672</v>
      </c>
      <c r="D25" s="346"/>
      <c r="E25" s="659">
        <f>'AD-8'!C14</f>
        <v>180374.36829000001</v>
      </c>
      <c r="F25" s="206"/>
      <c r="G25" s="659">
        <f>'AD-8'!C16</f>
        <v>176890.08001999999</v>
      </c>
      <c r="H25" s="607"/>
      <c r="I25" s="615">
        <f>(E25+G25)/2</f>
        <v>178632.224155</v>
      </c>
      <c r="J25" s="663"/>
      <c r="K25" s="729" t="str">
        <f>"AD-8; Line "&amp;'AD-8'!A19</f>
        <v>AD-8; Line 6</v>
      </c>
      <c r="L25" s="584">
        <f t="shared" si="1"/>
        <v>15</v>
      </c>
    </row>
    <row r="26" spans="1:13">
      <c r="A26" s="584">
        <f t="shared" si="0"/>
        <v>16</v>
      </c>
      <c r="B26" s="267"/>
      <c r="C26" s="727"/>
      <c r="D26" s="267"/>
      <c r="E26" s="615"/>
      <c r="F26" s="267"/>
      <c r="G26" s="615"/>
      <c r="H26" s="656"/>
      <c r="I26" s="615"/>
      <c r="J26" s="656"/>
      <c r="K26" s="728"/>
      <c r="L26" s="584">
        <f t="shared" si="1"/>
        <v>16</v>
      </c>
    </row>
    <row r="27" spans="1:13" ht="18.75">
      <c r="A27" s="584">
        <f t="shared" si="0"/>
        <v>17</v>
      </c>
      <c r="B27" s="1114" t="s">
        <v>634</v>
      </c>
      <c r="C27" s="292" t="s">
        <v>672</v>
      </c>
      <c r="E27" s="659">
        <f>'AD-9'!C14</f>
        <v>429248.65587999998</v>
      </c>
      <c r="F27" s="206"/>
      <c r="G27" s="659">
        <f>'AD-9'!C16</f>
        <v>495491.8627</v>
      </c>
      <c r="H27" s="708"/>
      <c r="I27" s="615">
        <f>(E27+G27)/2</f>
        <v>462370.25928999996</v>
      </c>
      <c r="J27" s="607"/>
      <c r="K27" s="726" t="str">
        <f>"AD-9; Line "&amp;'AD-9'!A19</f>
        <v>AD-9; Line 6</v>
      </c>
      <c r="L27" s="584">
        <f t="shared" si="1"/>
        <v>17</v>
      </c>
    </row>
    <row r="28" spans="1:13">
      <c r="A28" s="584">
        <f t="shared" si="0"/>
        <v>18</v>
      </c>
      <c r="B28" s="1114"/>
      <c r="E28" s="616"/>
      <c r="F28" s="170"/>
      <c r="G28" s="616"/>
      <c r="H28" s="607"/>
      <c r="I28" s="616"/>
      <c r="J28" s="607"/>
      <c r="K28" s="726"/>
      <c r="L28" s="584">
        <f t="shared" si="1"/>
        <v>18</v>
      </c>
    </row>
    <row r="29" spans="1:13" ht="18.75">
      <c r="A29" s="584">
        <f t="shared" si="0"/>
        <v>19</v>
      </c>
      <c r="B29" s="1114" t="s">
        <v>635</v>
      </c>
      <c r="E29" s="659">
        <f>'AD-10'!D15</f>
        <v>1020298.973051873</v>
      </c>
      <c r="F29" s="206"/>
      <c r="G29" s="659">
        <f>'AD-10'!D19</f>
        <v>1051636.4995737518</v>
      </c>
      <c r="H29" s="708"/>
      <c r="I29" s="730">
        <f>(E29+G29)/2</f>
        <v>1035967.7363128124</v>
      </c>
      <c r="J29" s="656"/>
      <c r="K29" s="726" t="str">
        <f>"AD-10; Line "&amp;'AD-10'!A22</f>
        <v>AD-10; Line 10</v>
      </c>
      <c r="L29" s="584">
        <f t="shared" si="1"/>
        <v>19</v>
      </c>
    </row>
    <row r="30" spans="1:13">
      <c r="A30" s="584">
        <f t="shared" si="0"/>
        <v>20</v>
      </c>
      <c r="B30" s="1114"/>
      <c r="E30" s="615"/>
      <c r="F30" s="170"/>
      <c r="G30" s="615"/>
      <c r="H30" s="656"/>
      <c r="I30" s="615"/>
      <c r="J30" s="656"/>
      <c r="K30" s="725"/>
      <c r="L30" s="584">
        <f t="shared" si="1"/>
        <v>20</v>
      </c>
    </row>
    <row r="31" spans="1:13" ht="16.5" thickBot="1">
      <c r="A31" s="584">
        <f t="shared" si="0"/>
        <v>21</v>
      </c>
      <c r="B31" s="1114" t="s">
        <v>10</v>
      </c>
      <c r="E31" s="595"/>
      <c r="F31" s="731"/>
      <c r="G31" s="595"/>
      <c r="H31" s="593"/>
      <c r="I31" s="594">
        <f>I11+I13+I15+I17+I19+I21+I23+I25+I27+I29</f>
        <v>16125188.658664351</v>
      </c>
      <c r="J31" s="603"/>
      <c r="K31" s="725" t="str">
        <f>"Sum Lines "&amp;A11&amp;" thru "&amp;A29</f>
        <v>Sum Lines 1 thru 19</v>
      </c>
      <c r="L31" s="584">
        <f t="shared" si="1"/>
        <v>21</v>
      </c>
      <c r="M31" s="732"/>
    </row>
    <row r="32" spans="1:13" ht="16.5" thickTop="1">
      <c r="A32" s="584">
        <f t="shared" si="0"/>
        <v>22</v>
      </c>
      <c r="B32" s="1114"/>
      <c r="E32" s="733"/>
      <c r="G32" s="733"/>
      <c r="H32" s="605"/>
      <c r="I32" s="733"/>
      <c r="J32" s="605"/>
      <c r="K32" s="725" t="s">
        <v>9</v>
      </c>
      <c r="L32" s="584">
        <f t="shared" si="1"/>
        <v>22</v>
      </c>
    </row>
    <row r="33" spans="1:13">
      <c r="A33" s="584">
        <f t="shared" si="0"/>
        <v>23</v>
      </c>
      <c r="B33" s="1114" t="s">
        <v>11</v>
      </c>
      <c r="E33" s="734"/>
      <c r="G33" s="734"/>
      <c r="H33" s="605"/>
      <c r="I33" s="640">
        <f>'Stmt AI'!E27</f>
        <v>0.10143191236945187</v>
      </c>
      <c r="J33" s="605"/>
      <c r="K33" s="725" t="str">
        <f>"Statement AI; Line "&amp;'Stmt AI'!A27</f>
        <v>Statement AI; Line 17</v>
      </c>
      <c r="L33" s="584">
        <f t="shared" si="1"/>
        <v>23</v>
      </c>
    </row>
    <row r="34" spans="1:13">
      <c r="A34" s="584">
        <f t="shared" si="0"/>
        <v>24</v>
      </c>
      <c r="B34" s="1114"/>
      <c r="E34" s="733"/>
      <c r="G34" s="733"/>
      <c r="H34" s="605"/>
      <c r="I34" s="733"/>
      <c r="J34" s="605"/>
      <c r="K34" s="725"/>
      <c r="L34" s="584">
        <f t="shared" si="1"/>
        <v>24</v>
      </c>
    </row>
    <row r="35" spans="1:13">
      <c r="A35" s="584">
        <f t="shared" si="0"/>
        <v>25</v>
      </c>
      <c r="B35" s="267" t="s">
        <v>885</v>
      </c>
      <c r="C35" s="266"/>
      <c r="D35" s="267"/>
      <c r="E35" s="326"/>
      <c r="F35" s="326"/>
      <c r="G35" s="326"/>
      <c r="H35" s="735"/>
      <c r="I35" s="622">
        <f>I21+I23</f>
        <v>6197907.0110930772</v>
      </c>
      <c r="J35" s="603"/>
      <c r="K35" s="736" t="str">
        <f>"Line "&amp;A21&amp;" + Line "&amp;A23</f>
        <v>Line 11 + Line 13</v>
      </c>
      <c r="L35" s="584">
        <f t="shared" si="1"/>
        <v>25</v>
      </c>
    </row>
    <row r="36" spans="1:13">
      <c r="A36" s="584">
        <f t="shared" si="0"/>
        <v>26</v>
      </c>
      <c r="B36" s="1114"/>
      <c r="E36" s="733"/>
      <c r="G36" s="733"/>
      <c r="H36" s="605"/>
      <c r="I36" s="737"/>
      <c r="J36" s="605"/>
      <c r="K36" s="725"/>
      <c r="L36" s="584">
        <f t="shared" si="1"/>
        <v>26</v>
      </c>
    </row>
    <row r="37" spans="1:13">
      <c r="A37" s="584">
        <f t="shared" si="0"/>
        <v>27</v>
      </c>
      <c r="B37" s="1114" t="s">
        <v>12</v>
      </c>
      <c r="E37" s="332"/>
      <c r="G37" s="332"/>
      <c r="H37" s="605"/>
      <c r="I37" s="738">
        <f>I25*I33</f>
        <v>18119.008106850244</v>
      </c>
      <c r="J37" s="603"/>
      <c r="K37" s="736" t="str">
        <f>"Line "&amp;A25&amp;" x Line "&amp;A33</f>
        <v>Line 15 x Line 23</v>
      </c>
      <c r="L37" s="584">
        <f t="shared" si="1"/>
        <v>27</v>
      </c>
      <c r="M37" s="732"/>
    </row>
    <row r="38" spans="1:13">
      <c r="A38" s="584">
        <f t="shared" si="0"/>
        <v>28</v>
      </c>
      <c r="B38" s="1114"/>
      <c r="E38" s="733"/>
      <c r="G38" s="733"/>
      <c r="H38" s="605"/>
      <c r="I38" s="739"/>
      <c r="J38" s="605"/>
      <c r="K38" s="725"/>
      <c r="L38" s="584">
        <f t="shared" si="1"/>
        <v>28</v>
      </c>
    </row>
    <row r="39" spans="1:13">
      <c r="A39" s="584">
        <f t="shared" si="0"/>
        <v>29</v>
      </c>
      <c r="B39" s="1114" t="s">
        <v>13</v>
      </c>
      <c r="E39" s="332"/>
      <c r="G39" s="332"/>
      <c r="H39" s="605"/>
      <c r="I39" s="738">
        <f>I27*I33</f>
        <v>46899.099622544018</v>
      </c>
      <c r="J39" s="605"/>
      <c r="K39" s="736" t="str">
        <f>"Line "&amp;A27&amp;" x Line "&amp;A33</f>
        <v>Line 17 x Line 23</v>
      </c>
      <c r="L39" s="584">
        <f t="shared" si="1"/>
        <v>29</v>
      </c>
      <c r="M39" s="732"/>
    </row>
    <row r="40" spans="1:13">
      <c r="A40" s="584">
        <f t="shared" si="0"/>
        <v>30</v>
      </c>
      <c r="B40" s="1114"/>
      <c r="E40" s="332"/>
      <c r="G40" s="332"/>
      <c r="H40" s="605"/>
      <c r="I40" s="740"/>
      <c r="J40" s="605"/>
      <c r="K40" s="725"/>
      <c r="L40" s="584">
        <f t="shared" si="1"/>
        <v>30</v>
      </c>
      <c r="M40" s="732"/>
    </row>
    <row r="41" spans="1:13">
      <c r="A41" s="584">
        <f t="shared" si="0"/>
        <v>31</v>
      </c>
      <c r="B41" s="1114" t="s">
        <v>14</v>
      </c>
      <c r="E41" s="332"/>
      <c r="G41" s="332"/>
      <c r="H41" s="605"/>
      <c r="I41" s="741">
        <f>I29*I33</f>
        <v>105080.18864726061</v>
      </c>
      <c r="J41" s="605"/>
      <c r="K41" s="736" t="str">
        <f>"Line "&amp;A29&amp;" x Line "&amp;A33</f>
        <v>Line 19 x Line 23</v>
      </c>
      <c r="L41" s="584">
        <f t="shared" si="1"/>
        <v>31</v>
      </c>
      <c r="M41" s="732"/>
    </row>
    <row r="42" spans="1:13">
      <c r="A42" s="584">
        <f t="shared" si="0"/>
        <v>32</v>
      </c>
      <c r="B42" s="1114" t="s">
        <v>9</v>
      </c>
      <c r="C42" s="580"/>
      <c r="D42" s="655"/>
      <c r="E42" s="742"/>
      <c r="F42" s="655"/>
      <c r="G42" s="742"/>
      <c r="H42" s="743"/>
      <c r="I42" s="744"/>
      <c r="J42" s="743"/>
      <c r="K42" s="725"/>
      <c r="L42" s="584">
        <f t="shared" si="1"/>
        <v>32</v>
      </c>
    </row>
    <row r="43" spans="1:13" ht="16.5" thickBot="1">
      <c r="A43" s="584">
        <f t="shared" si="0"/>
        <v>33</v>
      </c>
      <c r="B43" s="1114" t="s">
        <v>15</v>
      </c>
      <c r="C43" s="580"/>
      <c r="D43" s="655"/>
      <c r="E43" s="332"/>
      <c r="G43" s="332"/>
      <c r="H43" s="745"/>
      <c r="I43" s="746">
        <f>I35+I37+I39+I41</f>
        <v>6368005.3074697321</v>
      </c>
      <c r="J43" s="603"/>
      <c r="K43" s="736" t="str">
        <f>"Sum Lines "&amp;A35&amp;" thru "&amp;A41</f>
        <v>Sum Lines 25 thru 31</v>
      </c>
      <c r="L43" s="584">
        <f t="shared" si="1"/>
        <v>33</v>
      </c>
      <c r="M43" s="732"/>
    </row>
    <row r="44" spans="1:13" ht="16.5" thickTop="1">
      <c r="A44" s="584">
        <f t="shared" si="0"/>
        <v>34</v>
      </c>
      <c r="B44" s="1114"/>
      <c r="C44" s="580"/>
      <c r="D44" s="655"/>
      <c r="E44" s="747"/>
      <c r="F44" s="655"/>
      <c r="G44" s="747"/>
      <c r="H44" s="745"/>
      <c r="I44" s="748"/>
      <c r="J44" s="745"/>
      <c r="K44" s="725"/>
      <c r="L44" s="584">
        <f t="shared" si="1"/>
        <v>34</v>
      </c>
    </row>
    <row r="45" spans="1:13" ht="19.5" thickBot="1">
      <c r="A45" s="584">
        <f t="shared" si="0"/>
        <v>35</v>
      </c>
      <c r="B45" s="1114" t="s">
        <v>636</v>
      </c>
      <c r="C45" s="580"/>
      <c r="D45" s="655"/>
      <c r="E45" s="749"/>
      <c r="F45" s="655"/>
      <c r="G45" s="749"/>
      <c r="H45" s="745"/>
      <c r="I45" s="750">
        <f>I43/I31</f>
        <v>0.39491043746939913</v>
      </c>
      <c r="J45" s="603"/>
      <c r="K45" s="736" t="str">
        <f>"Line "&amp;A43&amp;" / Line "&amp;A31</f>
        <v>Line 33 / Line 21</v>
      </c>
      <c r="L45" s="584">
        <f t="shared" si="1"/>
        <v>35</v>
      </c>
      <c r="M45" s="732"/>
    </row>
    <row r="46" spans="1:13" ht="16.5" thickTop="1">
      <c r="A46" s="580"/>
      <c r="E46" s="169"/>
      <c r="G46" s="751"/>
      <c r="H46" s="554"/>
      <c r="I46" s="554"/>
      <c r="J46" s="554"/>
      <c r="K46" s="752"/>
      <c r="L46" s="580"/>
    </row>
    <row r="47" spans="1:13">
      <c r="A47" s="580"/>
      <c r="E47" s="169"/>
      <c r="G47" s="751"/>
      <c r="H47" s="554"/>
      <c r="I47" s="554"/>
      <c r="J47" s="554"/>
      <c r="K47" s="752"/>
      <c r="L47" s="580"/>
    </row>
    <row r="48" spans="1:13" ht="18.75">
      <c r="A48" s="633">
        <v>1</v>
      </c>
      <c r="B48" s="108" t="s">
        <v>923</v>
      </c>
      <c r="E48" s="169"/>
      <c r="G48" s="751"/>
      <c r="H48" s="554"/>
      <c r="I48" s="554"/>
      <c r="J48" s="554"/>
      <c r="K48" s="752"/>
      <c r="L48" s="580"/>
    </row>
    <row r="49" spans="1:12" ht="18.75">
      <c r="A49" s="226">
        <v>2</v>
      </c>
      <c r="B49" s="108" t="s">
        <v>498</v>
      </c>
      <c r="E49" s="169"/>
      <c r="G49" s="751"/>
      <c r="H49" s="554"/>
      <c r="I49" s="554"/>
      <c r="J49" s="554"/>
      <c r="K49" s="752"/>
      <c r="L49" s="580"/>
    </row>
    <row r="50" spans="1:12" ht="18.75">
      <c r="A50" s="596">
        <v>3</v>
      </c>
      <c r="B50" s="108" t="s">
        <v>578</v>
      </c>
    </row>
    <row r="51" spans="1:12" ht="18.75">
      <c r="A51" s="596">
        <v>4</v>
      </c>
      <c r="B51" s="126" t="s">
        <v>579</v>
      </c>
    </row>
    <row r="52" spans="1:12" ht="18.75">
      <c r="A52" s="596">
        <v>5</v>
      </c>
      <c r="B52" s="106" t="s">
        <v>16</v>
      </c>
    </row>
    <row r="53" spans="1:12" ht="18.75">
      <c r="A53" s="596"/>
    </row>
    <row r="54" spans="1:12" ht="18.75">
      <c r="A54" s="596"/>
      <c r="B54" s="912"/>
    </row>
    <row r="55" spans="1:12" ht="18.75">
      <c r="A55" s="596"/>
      <c r="B55" s="988"/>
    </row>
    <row r="56" spans="1:12">
      <c r="B56" s="988"/>
    </row>
    <row r="57" spans="1:12">
      <c r="B57" s="988"/>
    </row>
    <row r="58" spans="1:12">
      <c r="B58" s="988"/>
    </row>
    <row r="77" spans="7:7">
      <c r="G77" s="899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12" orientation="portrait" r:id="rId1"/>
  <headerFooter scaleWithDoc="0">
    <oddFooter>&amp;C&amp;"Times New Roman,Regular"&amp;10AD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Z47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6" customWidth="1"/>
    <col min="4" max="4" width="25.140625" style="177" customWidth="1"/>
    <col min="5" max="5" width="18.5703125" style="170" customWidth="1"/>
    <col min="6" max="6" width="62.5703125" style="178" customWidth="1"/>
    <col min="7" max="7" width="5.140625" style="915" customWidth="1"/>
    <col min="8" max="8" width="24" style="170" customWidth="1"/>
    <col min="9" max="9" width="11" style="170" customWidth="1"/>
    <col min="10" max="10" width="7.140625" style="170" customWidth="1"/>
    <col min="11" max="11" width="9.140625" style="170" customWidth="1"/>
    <col min="12" max="12" width="14" style="170" customWidth="1"/>
    <col min="13" max="13" width="13.42578125" style="170" customWidth="1"/>
    <col min="14" max="16384" width="9.140625" style="170"/>
  </cols>
  <sheetData>
    <row r="2" spans="1:9">
      <c r="B2" s="1642" t="s">
        <v>17</v>
      </c>
      <c r="C2" s="1642"/>
      <c r="D2" s="1642"/>
      <c r="E2" s="1642"/>
      <c r="F2" s="1642"/>
    </row>
    <row r="3" spans="1:9">
      <c r="B3" s="1642" t="s">
        <v>18</v>
      </c>
      <c r="C3" s="1642"/>
      <c r="D3" s="1642"/>
      <c r="E3" s="1642"/>
      <c r="F3" s="1642"/>
    </row>
    <row r="4" spans="1:9">
      <c r="B4" s="1642" t="s">
        <v>19</v>
      </c>
      <c r="C4" s="1642"/>
      <c r="D4" s="1642"/>
      <c r="E4" s="1642"/>
      <c r="F4" s="1642"/>
    </row>
    <row r="5" spans="1:9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  <c r="F5" s="1642"/>
    </row>
    <row r="6" spans="1:9">
      <c r="B6" s="1647" t="s">
        <v>2</v>
      </c>
      <c r="C6" s="1647"/>
      <c r="D6" s="1647"/>
      <c r="E6" s="1647"/>
      <c r="F6" s="1647"/>
    </row>
    <row r="7" spans="1:9">
      <c r="B7" s="172"/>
      <c r="C7" s="173"/>
      <c r="D7" s="174"/>
      <c r="E7" s="172"/>
      <c r="F7" s="175"/>
    </row>
    <row r="8" spans="1:9">
      <c r="B8" s="1642" t="s">
        <v>27</v>
      </c>
      <c r="C8" s="1642"/>
      <c r="D8" s="1642"/>
      <c r="E8" s="1642"/>
      <c r="F8" s="1642"/>
    </row>
    <row r="10" spans="1:9">
      <c r="B10" s="179"/>
      <c r="C10" s="180" t="s">
        <v>30</v>
      </c>
      <c r="D10" s="181"/>
      <c r="E10" s="180"/>
      <c r="F10" s="181"/>
    </row>
    <row r="11" spans="1:9">
      <c r="B11" s="182"/>
      <c r="C11" s="183" t="s">
        <v>31</v>
      </c>
      <c r="D11" s="184"/>
      <c r="E11" s="185" t="s">
        <v>31</v>
      </c>
      <c r="F11" s="186"/>
    </row>
    <row r="12" spans="1:9">
      <c r="A12" s="187" t="s">
        <v>3</v>
      </c>
      <c r="B12" s="189"/>
      <c r="C12" s="183" t="s">
        <v>32</v>
      </c>
      <c r="D12" s="184"/>
      <c r="E12" s="190" t="s">
        <v>32</v>
      </c>
      <c r="F12" s="186"/>
      <c r="G12" s="919" t="s">
        <v>3</v>
      </c>
    </row>
    <row r="13" spans="1:9" ht="18.75">
      <c r="A13" s="187" t="s">
        <v>24</v>
      </c>
      <c r="B13" s="191" t="s">
        <v>22</v>
      </c>
      <c r="C13" s="192" t="s">
        <v>34</v>
      </c>
      <c r="D13" s="193" t="s">
        <v>8</v>
      </c>
      <c r="E13" s="194" t="s">
        <v>414</v>
      </c>
      <c r="F13" s="193" t="s">
        <v>8</v>
      </c>
      <c r="G13" s="919" t="s">
        <v>24</v>
      </c>
    </row>
    <row r="14" spans="1:9">
      <c r="A14" s="187">
        <v>1</v>
      </c>
      <c r="B14" s="195" t="str">
        <f>"Dec-"&amp;RIGHT(Automation!$B$3-1,2)</f>
        <v>Dec-18</v>
      </c>
      <c r="C14" s="196">
        <v>530748.94892999995</v>
      </c>
      <c r="D14" s="197" t="s">
        <v>415</v>
      </c>
      <c r="E14" s="198">
        <v>545574.12734999997</v>
      </c>
      <c r="F14" s="197" t="s">
        <v>671</v>
      </c>
      <c r="G14" s="919">
        <f>A14</f>
        <v>1</v>
      </c>
      <c r="H14" s="199"/>
      <c r="I14" s="200"/>
    </row>
    <row r="15" spans="1:9">
      <c r="A15" s="187">
        <f>A14+1</f>
        <v>2</v>
      </c>
      <c r="B15" s="195" t="str">
        <f>"Jan-"&amp;RIGHT(Automation!$B$3,2)</f>
        <v>Jan-19</v>
      </c>
      <c r="C15" s="201">
        <v>530852.94828000001</v>
      </c>
      <c r="D15" s="202"/>
      <c r="E15" s="203">
        <v>545678.12670000002</v>
      </c>
      <c r="F15" s="204"/>
      <c r="G15" s="919">
        <f>G14+1</f>
        <v>2</v>
      </c>
      <c r="H15" s="205"/>
    </row>
    <row r="16" spans="1:9">
      <c r="A16" s="187">
        <f t="shared" ref="A16:A32" si="0">A15+1</f>
        <v>3</v>
      </c>
      <c r="B16" s="195" t="s">
        <v>35</v>
      </c>
      <c r="C16" s="201">
        <v>530882.38196000003</v>
      </c>
      <c r="D16" s="202"/>
      <c r="E16" s="203">
        <v>546546.91752999998</v>
      </c>
      <c r="F16" s="204"/>
      <c r="G16" s="919">
        <f t="shared" ref="G16:G32" si="1">G15+1</f>
        <v>3</v>
      </c>
      <c r="H16" s="205"/>
    </row>
    <row r="17" spans="1:26">
      <c r="A17" s="187">
        <f t="shared" si="0"/>
        <v>4</v>
      </c>
      <c r="B17" s="195" t="s">
        <v>36</v>
      </c>
      <c r="C17" s="201">
        <v>531505.14526000002</v>
      </c>
      <c r="D17" s="202"/>
      <c r="E17" s="203">
        <v>547169.68083000008</v>
      </c>
      <c r="F17" s="204"/>
      <c r="G17" s="919">
        <f t="shared" si="1"/>
        <v>4</v>
      </c>
      <c r="H17" s="205"/>
    </row>
    <row r="18" spans="1:26">
      <c r="A18" s="187">
        <f t="shared" si="0"/>
        <v>5</v>
      </c>
      <c r="B18" s="195" t="s">
        <v>37</v>
      </c>
      <c r="C18" s="201">
        <v>534300.23991999996</v>
      </c>
      <c r="D18" s="202"/>
      <c r="E18" s="203">
        <v>549964.77549000003</v>
      </c>
      <c r="F18" s="204"/>
      <c r="G18" s="919">
        <f t="shared" si="1"/>
        <v>5</v>
      </c>
      <c r="H18" s="205"/>
    </row>
    <row r="19" spans="1:26">
      <c r="A19" s="187">
        <f t="shared" si="0"/>
        <v>6</v>
      </c>
      <c r="B19" s="195" t="s">
        <v>38</v>
      </c>
      <c r="C19" s="201">
        <v>534351.76289000001</v>
      </c>
      <c r="D19" s="202"/>
      <c r="E19" s="203">
        <v>550016.29846000008</v>
      </c>
      <c r="F19" s="204"/>
      <c r="G19" s="919">
        <f t="shared" si="1"/>
        <v>6</v>
      </c>
      <c r="H19" s="205"/>
    </row>
    <row r="20" spans="1:26">
      <c r="A20" s="187">
        <f>A19+1</f>
        <v>7</v>
      </c>
      <c r="B20" s="195" t="s">
        <v>39</v>
      </c>
      <c r="C20" s="201">
        <v>534774.83033999999</v>
      </c>
      <c r="D20" s="202"/>
      <c r="E20" s="203">
        <v>550439.36591000005</v>
      </c>
      <c r="F20" s="204"/>
      <c r="G20" s="919">
        <f>G19+1</f>
        <v>7</v>
      </c>
      <c r="H20" s="205"/>
    </row>
    <row r="21" spans="1:26">
      <c r="A21" s="187">
        <f t="shared" si="0"/>
        <v>8</v>
      </c>
      <c r="B21" s="195" t="s">
        <v>40</v>
      </c>
      <c r="C21" s="201">
        <v>534766.17519999994</v>
      </c>
      <c r="D21" s="202"/>
      <c r="E21" s="203">
        <v>550430.71077000001</v>
      </c>
      <c r="F21" s="204"/>
      <c r="G21" s="919">
        <f t="shared" si="1"/>
        <v>8</v>
      </c>
      <c r="H21" s="205"/>
    </row>
    <row r="22" spans="1:26">
      <c r="A22" s="187">
        <f t="shared" si="0"/>
        <v>9</v>
      </c>
      <c r="B22" s="195" t="s">
        <v>41</v>
      </c>
      <c r="C22" s="201">
        <v>534241.98626000003</v>
      </c>
      <c r="D22" s="202"/>
      <c r="E22" s="203">
        <v>549906.5218300001</v>
      </c>
      <c r="F22" s="204"/>
      <c r="G22" s="919">
        <f t="shared" si="1"/>
        <v>9</v>
      </c>
      <c r="H22" s="205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</row>
    <row r="23" spans="1:26">
      <c r="A23" s="187">
        <f t="shared" si="0"/>
        <v>10</v>
      </c>
      <c r="B23" s="195" t="s">
        <v>42</v>
      </c>
      <c r="C23" s="201">
        <v>534845.69747999997</v>
      </c>
      <c r="D23" s="202"/>
      <c r="E23" s="203">
        <v>550510.23304999992</v>
      </c>
      <c r="F23" s="204"/>
      <c r="G23" s="919">
        <f t="shared" si="1"/>
        <v>10</v>
      </c>
      <c r="H23" s="205"/>
    </row>
    <row r="24" spans="1:26">
      <c r="A24" s="187">
        <f t="shared" si="0"/>
        <v>11</v>
      </c>
      <c r="B24" s="195" t="s">
        <v>43</v>
      </c>
      <c r="C24" s="201">
        <v>535440.66598000005</v>
      </c>
      <c r="D24" s="202"/>
      <c r="E24" s="203">
        <v>551105.20155</v>
      </c>
      <c r="F24" s="204"/>
      <c r="G24" s="919">
        <f t="shared" si="1"/>
        <v>11</v>
      </c>
      <c r="H24" s="205"/>
    </row>
    <row r="25" spans="1:26">
      <c r="A25" s="187">
        <f t="shared" si="0"/>
        <v>12</v>
      </c>
      <c r="B25" s="195" t="s">
        <v>44</v>
      </c>
      <c r="C25" s="201">
        <v>536557.34739000001</v>
      </c>
      <c r="D25" s="202"/>
      <c r="E25" s="203">
        <v>552221.88295999996</v>
      </c>
      <c r="F25" s="204"/>
      <c r="G25" s="919">
        <f t="shared" si="1"/>
        <v>12</v>
      </c>
      <c r="H25" s="205"/>
    </row>
    <row r="26" spans="1:26">
      <c r="A26" s="187">
        <f t="shared" si="0"/>
        <v>13</v>
      </c>
      <c r="B26" s="207" t="str">
        <f>"Dec-"&amp;RIGHT(Automation!$B$3,2)</f>
        <v>Dec-19</v>
      </c>
      <c r="C26" s="208">
        <v>540685.90725000005</v>
      </c>
      <c r="D26" s="197" t="s">
        <v>415</v>
      </c>
      <c r="E26" s="208">
        <v>556350.44282</v>
      </c>
      <c r="F26" s="197" t="s">
        <v>669</v>
      </c>
      <c r="G26" s="919">
        <f t="shared" si="1"/>
        <v>13</v>
      </c>
      <c r="H26" s="205"/>
      <c r="I26" s="200"/>
    </row>
    <row r="27" spans="1:26">
      <c r="A27" s="187">
        <f t="shared" si="0"/>
        <v>14</v>
      </c>
      <c r="B27" s="209"/>
      <c r="C27" s="210"/>
      <c r="D27" s="211"/>
      <c r="E27" s="212"/>
      <c r="F27" s="213"/>
      <c r="G27" s="919">
        <f t="shared" si="1"/>
        <v>14</v>
      </c>
      <c r="H27" s="205"/>
    </row>
    <row r="28" spans="1:26">
      <c r="A28" s="187">
        <f t="shared" si="0"/>
        <v>15</v>
      </c>
      <c r="B28" s="209" t="s">
        <v>45</v>
      </c>
      <c r="C28" s="214">
        <f>SUM(C14:C26)</f>
        <v>6943954.0371399987</v>
      </c>
      <c r="D28" s="858" t="str">
        <f>"Sum Lines "&amp;A14&amp;" thru "&amp;A26</f>
        <v>Sum Lines 1 thru 13</v>
      </c>
      <c r="E28" s="214">
        <f>SUM(E14:E26)</f>
        <v>7145914.2852500007</v>
      </c>
      <c r="F28" s="859" t="str">
        <f>"Sum Lines "&amp;A14&amp;" thru "&amp;A26</f>
        <v>Sum Lines 1 thru 13</v>
      </c>
      <c r="G28" s="919">
        <f t="shared" si="1"/>
        <v>15</v>
      </c>
      <c r="H28" s="205"/>
    </row>
    <row r="29" spans="1:26">
      <c r="A29" s="187">
        <f t="shared" si="0"/>
        <v>16</v>
      </c>
      <c r="B29" s="216"/>
      <c r="C29" s="217"/>
      <c r="D29" s="218"/>
      <c r="E29" s="217"/>
      <c r="F29" s="219"/>
      <c r="G29" s="919">
        <f t="shared" si="1"/>
        <v>16</v>
      </c>
      <c r="H29" s="205"/>
    </row>
    <row r="30" spans="1:26">
      <c r="A30" s="187">
        <f t="shared" si="0"/>
        <v>17</v>
      </c>
      <c r="B30" s="209"/>
      <c r="C30" s="214"/>
      <c r="D30" s="220"/>
      <c r="E30" s="214"/>
      <c r="F30" s="221"/>
      <c r="G30" s="919">
        <f t="shared" si="1"/>
        <v>17</v>
      </c>
      <c r="H30" s="205"/>
    </row>
    <row r="31" spans="1:26">
      <c r="A31" s="187">
        <f t="shared" si="0"/>
        <v>18</v>
      </c>
      <c r="B31" s="209" t="s">
        <v>46</v>
      </c>
      <c r="C31" s="214">
        <f>C28/13</f>
        <v>534150.31054923066</v>
      </c>
      <c r="D31" s="858" t="str">
        <f>"Average of Lines "&amp;A14&amp;" thru "&amp;A26</f>
        <v>Average of Lines 1 thru 13</v>
      </c>
      <c r="E31" s="214">
        <f>E28/13</f>
        <v>549685.71425000008</v>
      </c>
      <c r="F31" s="197" t="s">
        <v>670</v>
      </c>
      <c r="G31" s="919">
        <f t="shared" si="1"/>
        <v>18</v>
      </c>
      <c r="H31" s="199"/>
      <c r="I31" s="200"/>
    </row>
    <row r="32" spans="1:26">
      <c r="A32" s="187">
        <f t="shared" si="0"/>
        <v>19</v>
      </c>
      <c r="B32" s="216"/>
      <c r="C32" s="222"/>
      <c r="D32" s="219"/>
      <c r="E32" s="222"/>
      <c r="F32" s="219"/>
      <c r="G32" s="919">
        <f t="shared" si="1"/>
        <v>19</v>
      </c>
    </row>
    <row r="33" spans="1:6">
      <c r="A33" s="187"/>
      <c r="B33" s="206"/>
      <c r="C33" s="223"/>
      <c r="D33" s="224"/>
      <c r="E33" s="223"/>
      <c r="F33" s="224"/>
    </row>
    <row r="34" spans="1:6">
      <c r="C34" s="225"/>
      <c r="D34" s="224"/>
      <c r="E34" s="225"/>
    </row>
    <row r="35" spans="1:6" ht="18.75">
      <c r="A35" s="226">
        <v>1</v>
      </c>
      <c r="B35" s="1114" t="s">
        <v>416</v>
      </c>
      <c r="C35" s="225"/>
      <c r="D35" s="178"/>
      <c r="E35" s="225"/>
    </row>
    <row r="36" spans="1:6">
      <c r="B36" s="1114" t="s">
        <v>417</v>
      </c>
      <c r="C36" s="225"/>
      <c r="D36" s="178"/>
      <c r="E36" s="225"/>
    </row>
    <row r="37" spans="1:6">
      <c r="C37" s="225"/>
      <c r="D37" s="178"/>
      <c r="E37" s="225"/>
    </row>
    <row r="38" spans="1:6">
      <c r="C38" s="225"/>
      <c r="D38" s="178"/>
      <c r="E38" s="225"/>
    </row>
    <row r="39" spans="1:6">
      <c r="C39" s="228"/>
      <c r="E39" s="225"/>
    </row>
    <row r="40" spans="1:6">
      <c r="C40" s="228"/>
      <c r="E40" s="225"/>
    </row>
    <row r="41" spans="1:6">
      <c r="C41" s="228"/>
      <c r="E41" s="225"/>
    </row>
    <row r="42" spans="1:6">
      <c r="C42" s="228"/>
      <c r="E42" s="225"/>
    </row>
    <row r="43" spans="1:6">
      <c r="C43" s="228"/>
      <c r="E43" s="225"/>
    </row>
    <row r="44" spans="1:6">
      <c r="C44" s="228"/>
      <c r="E44" s="225"/>
    </row>
    <row r="45" spans="1:6">
      <c r="C45" s="228"/>
      <c r="E45" s="225"/>
    </row>
    <row r="46" spans="1:6">
      <c r="C46" s="228"/>
      <c r="E46" s="225"/>
    </row>
    <row r="47" spans="1:6">
      <c r="C47" s="228"/>
      <c r="E47" s="22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Z39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6" customWidth="1"/>
    <col min="4" max="4" width="25.140625" style="177" customWidth="1"/>
    <col min="5" max="5" width="18.5703125" style="170" customWidth="1"/>
    <col min="6" max="6" width="62.5703125" style="178" customWidth="1"/>
    <col min="7" max="7" width="5.140625" style="915" customWidth="1"/>
    <col min="8" max="8" width="24" style="170" customWidth="1"/>
    <col min="9" max="9" width="11" style="170" customWidth="1"/>
    <col min="10" max="10" width="7.140625" style="170" customWidth="1"/>
    <col min="11" max="11" width="9.140625" style="170" customWidth="1"/>
    <col min="12" max="12" width="14" style="170" customWidth="1"/>
    <col min="13" max="13" width="13.42578125" style="170" customWidth="1"/>
    <col min="14" max="16384" width="9.140625" style="170"/>
  </cols>
  <sheetData>
    <row r="2" spans="1:8">
      <c r="B2" s="1642" t="s">
        <v>17</v>
      </c>
      <c r="C2" s="1642"/>
      <c r="D2" s="1642"/>
      <c r="E2" s="1642"/>
      <c r="F2" s="1642"/>
    </row>
    <row r="3" spans="1:8">
      <c r="B3" s="1642" t="s">
        <v>18</v>
      </c>
      <c r="C3" s="1642"/>
      <c r="D3" s="1642"/>
      <c r="E3" s="1642"/>
      <c r="F3" s="1642"/>
    </row>
    <row r="4" spans="1:8">
      <c r="B4" s="1642" t="s">
        <v>19</v>
      </c>
      <c r="C4" s="1642"/>
      <c r="D4" s="1642"/>
      <c r="E4" s="1642"/>
      <c r="F4" s="1642"/>
    </row>
    <row r="5" spans="1:8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  <c r="F5" s="1642"/>
    </row>
    <row r="6" spans="1:8">
      <c r="B6" s="1647" t="s">
        <v>2</v>
      </c>
      <c r="C6" s="1647"/>
      <c r="D6" s="1647"/>
      <c r="E6" s="1647"/>
      <c r="F6" s="1647"/>
    </row>
    <row r="7" spans="1:8">
      <c r="B7" s="172"/>
      <c r="C7" s="173"/>
      <c r="D7" s="174"/>
      <c r="E7" s="172"/>
      <c r="F7" s="175"/>
    </row>
    <row r="8" spans="1:8">
      <c r="B8" s="1642" t="s">
        <v>47</v>
      </c>
      <c r="C8" s="1642"/>
      <c r="D8" s="1642"/>
      <c r="E8" s="1642"/>
      <c r="F8" s="1642"/>
    </row>
    <row r="10" spans="1:8">
      <c r="B10" s="179"/>
      <c r="C10" s="180" t="s">
        <v>30</v>
      </c>
      <c r="D10" s="181"/>
      <c r="E10" s="180"/>
      <c r="F10" s="181"/>
    </row>
    <row r="11" spans="1:8">
      <c r="B11" s="182"/>
      <c r="C11" s="190" t="s">
        <v>48</v>
      </c>
      <c r="D11" s="184"/>
      <c r="E11" s="190" t="s">
        <v>48</v>
      </c>
      <c r="F11" s="184"/>
      <c r="H11" s="231"/>
    </row>
    <row r="12" spans="1:8">
      <c r="A12" s="187" t="s">
        <v>3</v>
      </c>
      <c r="B12" s="189"/>
      <c r="C12" s="183" t="s">
        <v>32</v>
      </c>
      <c r="D12" s="184"/>
      <c r="E12" s="190" t="s">
        <v>32</v>
      </c>
      <c r="F12" s="184"/>
      <c r="G12" s="919" t="s">
        <v>3</v>
      </c>
      <c r="H12" s="231"/>
    </row>
    <row r="13" spans="1:8" ht="18.75">
      <c r="A13" s="187" t="s">
        <v>24</v>
      </c>
      <c r="B13" s="191" t="s">
        <v>22</v>
      </c>
      <c r="C13" s="192" t="s">
        <v>34</v>
      </c>
      <c r="D13" s="193" t="s">
        <v>8</v>
      </c>
      <c r="E13" s="194" t="s">
        <v>414</v>
      </c>
      <c r="F13" s="907" t="s">
        <v>8</v>
      </c>
      <c r="G13" s="919" t="s">
        <v>24</v>
      </c>
      <c r="H13" s="231"/>
    </row>
    <row r="14" spans="1:8">
      <c r="A14" s="187">
        <v>1</v>
      </c>
      <c r="B14" s="195" t="str">
        <f>"Dec-"&amp;RIGHT(Automation!$B$3-1,2)</f>
        <v>Dec-18</v>
      </c>
      <c r="C14" s="233">
        <v>0</v>
      </c>
      <c r="D14" s="197" t="s">
        <v>415</v>
      </c>
      <c r="E14" s="233">
        <v>0</v>
      </c>
      <c r="F14" s="197" t="s">
        <v>671</v>
      </c>
      <c r="G14" s="919">
        <f>A14</f>
        <v>1</v>
      </c>
      <c r="H14" s="200"/>
    </row>
    <row r="15" spans="1:8">
      <c r="A15" s="187">
        <f>A14+1</f>
        <v>2</v>
      </c>
      <c r="B15" s="195" t="str">
        <f>"Jan-"&amp;RIGHT(Automation!$B$3,2)</f>
        <v>Jan-19</v>
      </c>
      <c r="C15" s="234">
        <v>0</v>
      </c>
      <c r="D15" s="204"/>
      <c r="E15" s="234">
        <v>0</v>
      </c>
      <c r="F15" s="202"/>
      <c r="G15" s="919">
        <f>G14+1</f>
        <v>2</v>
      </c>
    </row>
    <row r="16" spans="1:8">
      <c r="A16" s="187">
        <f t="shared" ref="A16:A32" si="0">A15+1</f>
        <v>3</v>
      </c>
      <c r="B16" s="195" t="s">
        <v>35</v>
      </c>
      <c r="C16" s="234">
        <v>0</v>
      </c>
      <c r="D16" s="204"/>
      <c r="E16" s="234">
        <v>0</v>
      </c>
      <c r="F16" s="202"/>
      <c r="G16" s="919">
        <f t="shared" ref="G16:G32" si="1">G15+1</f>
        <v>3</v>
      </c>
    </row>
    <row r="17" spans="1:26">
      <c r="A17" s="187">
        <f t="shared" si="0"/>
        <v>4</v>
      </c>
      <c r="B17" s="195" t="s">
        <v>36</v>
      </c>
      <c r="C17" s="234">
        <v>0</v>
      </c>
      <c r="D17" s="204"/>
      <c r="E17" s="234">
        <v>0</v>
      </c>
      <c r="F17" s="202"/>
      <c r="G17" s="919">
        <f t="shared" si="1"/>
        <v>4</v>
      </c>
    </row>
    <row r="18" spans="1:26">
      <c r="A18" s="187">
        <f t="shared" si="0"/>
        <v>5</v>
      </c>
      <c r="B18" s="195" t="s">
        <v>37</v>
      </c>
      <c r="C18" s="234">
        <v>0</v>
      </c>
      <c r="D18" s="204"/>
      <c r="E18" s="234">
        <v>0</v>
      </c>
      <c r="F18" s="202"/>
      <c r="G18" s="919">
        <f t="shared" si="1"/>
        <v>5</v>
      </c>
    </row>
    <row r="19" spans="1:26">
      <c r="A19" s="187">
        <f t="shared" si="0"/>
        <v>6</v>
      </c>
      <c r="B19" s="195" t="s">
        <v>38</v>
      </c>
      <c r="C19" s="234">
        <v>0</v>
      </c>
      <c r="D19" s="204"/>
      <c r="E19" s="234">
        <v>0</v>
      </c>
      <c r="F19" s="202"/>
      <c r="G19" s="919">
        <f t="shared" si="1"/>
        <v>6</v>
      </c>
    </row>
    <row r="20" spans="1:26">
      <c r="A20" s="187">
        <f>A19+1</f>
        <v>7</v>
      </c>
      <c r="B20" s="195" t="s">
        <v>39</v>
      </c>
      <c r="C20" s="234">
        <v>0</v>
      </c>
      <c r="D20" s="204"/>
      <c r="E20" s="234">
        <v>0</v>
      </c>
      <c r="F20" s="202"/>
      <c r="G20" s="919">
        <f>G19+1</f>
        <v>7</v>
      </c>
    </row>
    <row r="21" spans="1:26">
      <c r="A21" s="187">
        <f t="shared" si="0"/>
        <v>8</v>
      </c>
      <c r="B21" s="195" t="s">
        <v>40</v>
      </c>
      <c r="C21" s="234">
        <v>0</v>
      </c>
      <c r="D21" s="204"/>
      <c r="E21" s="234">
        <v>0</v>
      </c>
      <c r="F21" s="202"/>
      <c r="G21" s="919">
        <f t="shared" si="1"/>
        <v>8</v>
      </c>
    </row>
    <row r="22" spans="1:26">
      <c r="A22" s="187">
        <f t="shared" si="0"/>
        <v>9</v>
      </c>
      <c r="B22" s="195" t="s">
        <v>41</v>
      </c>
      <c r="C22" s="234">
        <v>0</v>
      </c>
      <c r="D22" s="204"/>
      <c r="E22" s="234">
        <v>0</v>
      </c>
      <c r="F22" s="202"/>
      <c r="G22" s="919">
        <f t="shared" si="1"/>
        <v>9</v>
      </c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</row>
    <row r="23" spans="1:26">
      <c r="A23" s="187">
        <f t="shared" si="0"/>
        <v>10</v>
      </c>
      <c r="B23" s="195" t="s">
        <v>42</v>
      </c>
      <c r="C23" s="234">
        <v>0</v>
      </c>
      <c r="D23" s="204"/>
      <c r="E23" s="234">
        <v>0</v>
      </c>
      <c r="F23" s="202"/>
      <c r="G23" s="919">
        <f t="shared" si="1"/>
        <v>10</v>
      </c>
    </row>
    <row r="24" spans="1:26">
      <c r="A24" s="187">
        <f t="shared" si="0"/>
        <v>11</v>
      </c>
      <c r="B24" s="195" t="s">
        <v>43</v>
      </c>
      <c r="C24" s="234">
        <v>0</v>
      </c>
      <c r="D24" s="204"/>
      <c r="E24" s="234">
        <v>0</v>
      </c>
      <c r="F24" s="202"/>
      <c r="G24" s="919">
        <f t="shared" si="1"/>
        <v>11</v>
      </c>
    </row>
    <row r="25" spans="1:26">
      <c r="A25" s="187">
        <f t="shared" si="0"/>
        <v>12</v>
      </c>
      <c r="B25" s="195" t="s">
        <v>44</v>
      </c>
      <c r="C25" s="234">
        <v>0</v>
      </c>
      <c r="D25" s="204"/>
      <c r="E25" s="234">
        <v>0</v>
      </c>
      <c r="F25" s="202"/>
      <c r="G25" s="919">
        <f t="shared" si="1"/>
        <v>12</v>
      </c>
    </row>
    <row r="26" spans="1:26">
      <c r="A26" s="187">
        <f t="shared" si="0"/>
        <v>13</v>
      </c>
      <c r="B26" s="207" t="str">
        <f>"Dec-"&amp;RIGHT(Automation!$B$3,2)</f>
        <v>Dec-19</v>
      </c>
      <c r="C26" s="234">
        <v>0</v>
      </c>
      <c r="D26" s="235" t="s">
        <v>415</v>
      </c>
      <c r="E26" s="244">
        <v>0</v>
      </c>
      <c r="F26" s="197" t="s">
        <v>669</v>
      </c>
      <c r="G26" s="919">
        <f t="shared" si="1"/>
        <v>13</v>
      </c>
      <c r="H26" s="200"/>
    </row>
    <row r="27" spans="1:26">
      <c r="A27" s="187">
        <f t="shared" si="0"/>
        <v>14</v>
      </c>
      <c r="B27" s="209"/>
      <c r="C27" s="236"/>
      <c r="D27" s="220"/>
      <c r="E27" s="237"/>
      <c r="F27" s="211"/>
      <c r="G27" s="919">
        <f t="shared" si="1"/>
        <v>14</v>
      </c>
    </row>
    <row r="28" spans="1:26">
      <c r="A28" s="187">
        <f t="shared" si="0"/>
        <v>15</v>
      </c>
      <c r="B28" s="209" t="s">
        <v>45</v>
      </c>
      <c r="C28" s="238">
        <f>SUM(C14:C26)</f>
        <v>0</v>
      </c>
      <c r="D28" s="858" t="str">
        <f>"Sum Lines "&amp;A14&amp;" thru "&amp;A26</f>
        <v>Sum Lines 1 thru 13</v>
      </c>
      <c r="E28" s="238">
        <f>SUM(E14:E26)</f>
        <v>0</v>
      </c>
      <c r="F28" s="858" t="str">
        <f>"Sum Lines "&amp;A14&amp;" thru "&amp;A26</f>
        <v>Sum Lines 1 thru 13</v>
      </c>
      <c r="G28" s="919">
        <f t="shared" si="1"/>
        <v>15</v>
      </c>
    </row>
    <row r="29" spans="1:26">
      <c r="A29" s="187">
        <f t="shared" si="0"/>
        <v>16</v>
      </c>
      <c r="B29" s="216"/>
      <c r="C29" s="217"/>
      <c r="D29" s="218"/>
      <c r="E29" s="217"/>
      <c r="F29" s="218"/>
      <c r="G29" s="919">
        <f t="shared" si="1"/>
        <v>16</v>
      </c>
    </row>
    <row r="30" spans="1:26">
      <c r="A30" s="187">
        <f t="shared" si="0"/>
        <v>17</v>
      </c>
      <c r="B30" s="209"/>
      <c r="C30" s="237"/>
      <c r="D30" s="220"/>
      <c r="E30" s="237"/>
      <c r="F30" s="220"/>
      <c r="G30" s="919">
        <f t="shared" si="1"/>
        <v>17</v>
      </c>
    </row>
    <row r="31" spans="1:26">
      <c r="A31" s="187">
        <f t="shared" si="0"/>
        <v>18</v>
      </c>
      <c r="B31" s="209" t="s">
        <v>46</v>
      </c>
      <c r="C31" s="238">
        <f>C28/13</f>
        <v>0</v>
      </c>
      <c r="D31" s="858" t="str">
        <f>"Average of Lines "&amp;A14&amp;" thru "&amp;A26</f>
        <v>Average of Lines 1 thru 13</v>
      </c>
      <c r="E31" s="238">
        <f>E28/13</f>
        <v>0</v>
      </c>
      <c r="F31" s="197" t="s">
        <v>670</v>
      </c>
      <c r="G31" s="919">
        <f t="shared" si="1"/>
        <v>18</v>
      </c>
      <c r="H31" s="200"/>
    </row>
    <row r="32" spans="1:26">
      <c r="A32" s="187">
        <f t="shared" si="0"/>
        <v>19</v>
      </c>
      <c r="B32" s="216"/>
      <c r="C32" s="239"/>
      <c r="D32" s="219"/>
      <c r="E32" s="239"/>
      <c r="F32" s="219"/>
      <c r="G32" s="919">
        <f t="shared" si="1"/>
        <v>19</v>
      </c>
      <c r="H32" s="205"/>
    </row>
    <row r="33" spans="1:8">
      <c r="B33" s="227"/>
      <c r="C33" s="240"/>
      <c r="D33" s="241"/>
      <c r="E33" s="240"/>
      <c r="F33" s="241"/>
      <c r="G33" s="975"/>
      <c r="H33" s="205"/>
    </row>
    <row r="34" spans="1:8">
      <c r="C34" s="240"/>
      <c r="D34" s="241"/>
      <c r="E34" s="240"/>
      <c r="F34" s="241"/>
      <c r="G34" s="975"/>
      <c r="H34" s="205"/>
    </row>
    <row r="35" spans="1:8" ht="18.75">
      <c r="A35" s="226">
        <v>1</v>
      </c>
      <c r="B35" s="227" t="s">
        <v>416</v>
      </c>
      <c r="C35" s="242"/>
      <c r="D35" s="241"/>
      <c r="E35" s="242"/>
      <c r="F35" s="241"/>
      <c r="G35" s="975"/>
      <c r="H35" s="205"/>
    </row>
    <row r="36" spans="1:8">
      <c r="B36" s="227" t="s">
        <v>417</v>
      </c>
      <c r="C36" s="242"/>
      <c r="D36" s="241"/>
      <c r="E36" s="242"/>
      <c r="F36" s="241"/>
      <c r="G36" s="975"/>
      <c r="H36" s="205"/>
    </row>
    <row r="37" spans="1:8">
      <c r="C37" s="242"/>
      <c r="D37" s="241"/>
      <c r="E37" s="242"/>
      <c r="F37" s="241"/>
      <c r="G37" s="975"/>
      <c r="H37" s="205"/>
    </row>
    <row r="38" spans="1:8">
      <c r="C38" s="242"/>
      <c r="D38" s="241"/>
      <c r="E38" s="242"/>
      <c r="F38" s="241"/>
      <c r="G38" s="975"/>
    </row>
    <row r="39" spans="1:8">
      <c r="C39" s="243"/>
      <c r="E39" s="231"/>
      <c r="G39" s="97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Z38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6" customWidth="1"/>
    <col min="4" max="4" width="25.140625" style="176" customWidth="1"/>
    <col min="5" max="5" width="18.5703125" style="170" customWidth="1"/>
    <col min="6" max="6" width="62.5703125" style="170" customWidth="1"/>
    <col min="7" max="7" width="5.140625" style="915" customWidth="1"/>
    <col min="8" max="8" width="24" style="170" customWidth="1"/>
    <col min="9" max="9" width="11" style="170" customWidth="1"/>
    <col min="10" max="10" width="7.140625" style="170" customWidth="1"/>
    <col min="11" max="11" width="9.140625" style="170" customWidth="1"/>
    <col min="12" max="12" width="14" style="170" customWidth="1"/>
    <col min="13" max="13" width="13.42578125" style="170" customWidth="1"/>
    <col min="14" max="16384" width="9.140625" style="170"/>
  </cols>
  <sheetData>
    <row r="2" spans="1:9">
      <c r="B2" s="1642" t="s">
        <v>17</v>
      </c>
      <c r="C2" s="1642"/>
      <c r="D2" s="1642"/>
      <c r="E2" s="1642"/>
      <c r="F2" s="1642"/>
    </row>
    <row r="3" spans="1:9">
      <c r="B3" s="1642" t="s">
        <v>18</v>
      </c>
      <c r="C3" s="1642"/>
      <c r="D3" s="1642"/>
      <c r="E3" s="1642"/>
      <c r="F3" s="1642"/>
    </row>
    <row r="4" spans="1:9">
      <c r="B4" s="1642" t="s">
        <v>19</v>
      </c>
      <c r="C4" s="1642"/>
      <c r="D4" s="1642"/>
      <c r="E4" s="1642"/>
      <c r="F4" s="1642"/>
    </row>
    <row r="5" spans="1:9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  <c r="F5" s="1642"/>
    </row>
    <row r="6" spans="1:9">
      <c r="B6" s="1647" t="s">
        <v>2</v>
      </c>
      <c r="C6" s="1647"/>
      <c r="D6" s="1647"/>
      <c r="E6" s="1647"/>
      <c r="F6" s="1647"/>
    </row>
    <row r="7" spans="1:9">
      <c r="B7" s="172"/>
      <c r="C7" s="173"/>
      <c r="D7" s="173"/>
      <c r="E7" s="172"/>
      <c r="F7" s="172"/>
    </row>
    <row r="8" spans="1:9">
      <c r="B8" s="1642" t="s">
        <v>50</v>
      </c>
      <c r="C8" s="1642"/>
      <c r="D8" s="1642"/>
      <c r="E8" s="1642"/>
      <c r="F8" s="1642"/>
    </row>
    <row r="10" spans="1:9">
      <c r="B10" s="179"/>
      <c r="C10" s="180" t="s">
        <v>30</v>
      </c>
      <c r="D10" s="245"/>
      <c r="E10" s="180"/>
      <c r="F10" s="245"/>
    </row>
    <row r="11" spans="1:9">
      <c r="B11" s="182"/>
      <c r="C11" s="190" t="s">
        <v>51</v>
      </c>
      <c r="D11" s="182"/>
      <c r="E11" s="190" t="s">
        <v>51</v>
      </c>
      <c r="F11" s="182"/>
    </row>
    <row r="12" spans="1:9">
      <c r="A12" s="187" t="s">
        <v>3</v>
      </c>
      <c r="B12" s="189"/>
      <c r="C12" s="183" t="s">
        <v>32</v>
      </c>
      <c r="D12" s="182"/>
      <c r="E12" s="190" t="s">
        <v>32</v>
      </c>
      <c r="F12" s="182"/>
      <c r="G12" s="919" t="s">
        <v>3</v>
      </c>
    </row>
    <row r="13" spans="1:9" ht="18.75">
      <c r="A13" s="187" t="s">
        <v>24</v>
      </c>
      <c r="B13" s="191" t="s">
        <v>22</v>
      </c>
      <c r="C13" s="192" t="s">
        <v>34</v>
      </c>
      <c r="D13" s="191" t="s">
        <v>8</v>
      </c>
      <c r="E13" s="194" t="s">
        <v>414</v>
      </c>
      <c r="F13" s="191" t="s">
        <v>8</v>
      </c>
      <c r="G13" s="919" t="s">
        <v>24</v>
      </c>
      <c r="H13" s="231"/>
    </row>
    <row r="14" spans="1:9">
      <c r="A14" s="187">
        <v>1</v>
      </c>
      <c r="B14" s="195" t="str">
        <f>"Dec-"&amp;RIGHT(Automation!$B$3-1,2)</f>
        <v>Dec-18</v>
      </c>
      <c r="C14" s="233">
        <v>0</v>
      </c>
      <c r="D14" s="197" t="s">
        <v>415</v>
      </c>
      <c r="E14" s="233">
        <v>0</v>
      </c>
      <c r="F14" s="197" t="s">
        <v>415</v>
      </c>
      <c r="G14" s="919">
        <f>A14</f>
        <v>1</v>
      </c>
      <c r="H14" s="247"/>
      <c r="I14" s="247"/>
    </row>
    <row r="15" spans="1:9">
      <c r="A15" s="187">
        <f>A14+1</f>
        <v>2</v>
      </c>
      <c r="B15" s="195" t="str">
        <f>"Jan-"&amp;RIGHT(Automation!$B$3,2)</f>
        <v>Jan-19</v>
      </c>
      <c r="C15" s="234">
        <v>0</v>
      </c>
      <c r="D15" s="204"/>
      <c r="E15" s="234">
        <v>0</v>
      </c>
      <c r="F15" s="204"/>
      <c r="G15" s="919">
        <f>G14+1</f>
        <v>2</v>
      </c>
      <c r="H15" s="247"/>
      <c r="I15" s="205"/>
    </row>
    <row r="16" spans="1:9">
      <c r="A16" s="187">
        <f t="shared" ref="A16:A32" si="0">A15+1</f>
        <v>3</v>
      </c>
      <c r="B16" s="195" t="s">
        <v>35</v>
      </c>
      <c r="C16" s="234">
        <v>0</v>
      </c>
      <c r="D16" s="204"/>
      <c r="E16" s="234">
        <v>0</v>
      </c>
      <c r="F16" s="204"/>
      <c r="G16" s="919">
        <f t="shared" ref="G16:G32" si="1">G15+1</f>
        <v>3</v>
      </c>
      <c r="H16" s="231"/>
    </row>
    <row r="17" spans="1:26">
      <c r="A17" s="187">
        <f t="shared" si="0"/>
        <v>4</v>
      </c>
      <c r="B17" s="195" t="s">
        <v>36</v>
      </c>
      <c r="C17" s="234">
        <v>0</v>
      </c>
      <c r="D17" s="204"/>
      <c r="E17" s="234">
        <v>0</v>
      </c>
      <c r="F17" s="204"/>
      <c r="G17" s="919">
        <f t="shared" si="1"/>
        <v>4</v>
      </c>
      <c r="H17" s="231"/>
    </row>
    <row r="18" spans="1:26">
      <c r="A18" s="187">
        <f t="shared" si="0"/>
        <v>5</v>
      </c>
      <c r="B18" s="195" t="s">
        <v>37</v>
      </c>
      <c r="C18" s="234">
        <v>0</v>
      </c>
      <c r="D18" s="204"/>
      <c r="E18" s="234">
        <v>0</v>
      </c>
      <c r="F18" s="204"/>
      <c r="G18" s="919">
        <f t="shared" si="1"/>
        <v>5</v>
      </c>
      <c r="H18" s="231"/>
    </row>
    <row r="19" spans="1:26">
      <c r="A19" s="187">
        <f t="shared" si="0"/>
        <v>6</v>
      </c>
      <c r="B19" s="195" t="s">
        <v>38</v>
      </c>
      <c r="C19" s="234">
        <v>0</v>
      </c>
      <c r="D19" s="204"/>
      <c r="E19" s="234">
        <v>0</v>
      </c>
      <c r="F19" s="204"/>
      <c r="G19" s="919">
        <f t="shared" si="1"/>
        <v>6</v>
      </c>
      <c r="H19" s="231"/>
    </row>
    <row r="20" spans="1:26">
      <c r="A20" s="187">
        <f>A19+1</f>
        <v>7</v>
      </c>
      <c r="B20" s="195" t="s">
        <v>39</v>
      </c>
      <c r="C20" s="234">
        <v>0</v>
      </c>
      <c r="D20" s="204"/>
      <c r="E20" s="234">
        <v>0</v>
      </c>
      <c r="F20" s="204"/>
      <c r="G20" s="919">
        <f>G19+1</f>
        <v>7</v>
      </c>
      <c r="H20" s="231"/>
    </row>
    <row r="21" spans="1:26">
      <c r="A21" s="187">
        <f t="shared" si="0"/>
        <v>8</v>
      </c>
      <c r="B21" s="195" t="s">
        <v>40</v>
      </c>
      <c r="C21" s="234">
        <v>0</v>
      </c>
      <c r="D21" s="204"/>
      <c r="E21" s="234">
        <v>0</v>
      </c>
      <c r="F21" s="204"/>
      <c r="G21" s="919">
        <f t="shared" si="1"/>
        <v>8</v>
      </c>
    </row>
    <row r="22" spans="1:26">
      <c r="A22" s="187">
        <f t="shared" si="0"/>
        <v>9</v>
      </c>
      <c r="B22" s="195" t="s">
        <v>41</v>
      </c>
      <c r="C22" s="234">
        <v>0</v>
      </c>
      <c r="D22" s="204"/>
      <c r="E22" s="234">
        <v>0</v>
      </c>
      <c r="F22" s="204"/>
      <c r="G22" s="919">
        <f t="shared" si="1"/>
        <v>9</v>
      </c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</row>
    <row r="23" spans="1:26">
      <c r="A23" s="187">
        <f t="shared" si="0"/>
        <v>10</v>
      </c>
      <c r="B23" s="195" t="s">
        <v>42</v>
      </c>
      <c r="C23" s="234">
        <v>0</v>
      </c>
      <c r="D23" s="204"/>
      <c r="E23" s="234">
        <v>0</v>
      </c>
      <c r="F23" s="204"/>
      <c r="G23" s="919">
        <f t="shared" si="1"/>
        <v>10</v>
      </c>
    </row>
    <row r="24" spans="1:26">
      <c r="A24" s="187">
        <f t="shared" si="0"/>
        <v>11</v>
      </c>
      <c r="B24" s="195" t="s">
        <v>43</v>
      </c>
      <c r="C24" s="234">
        <v>0</v>
      </c>
      <c r="D24" s="204"/>
      <c r="E24" s="234">
        <v>0</v>
      </c>
      <c r="F24" s="204"/>
      <c r="G24" s="919">
        <f t="shared" si="1"/>
        <v>11</v>
      </c>
    </row>
    <row r="25" spans="1:26">
      <c r="A25" s="187">
        <f t="shared" si="0"/>
        <v>12</v>
      </c>
      <c r="B25" s="195" t="s">
        <v>44</v>
      </c>
      <c r="C25" s="234">
        <v>0</v>
      </c>
      <c r="D25" s="204"/>
      <c r="E25" s="234">
        <v>0</v>
      </c>
      <c r="F25" s="204"/>
      <c r="G25" s="919">
        <f t="shared" si="1"/>
        <v>12</v>
      </c>
      <c r="I25" s="205"/>
    </row>
    <row r="26" spans="1:26">
      <c r="A26" s="187">
        <f t="shared" si="0"/>
        <v>13</v>
      </c>
      <c r="B26" s="207" t="str">
        <f>"Dec-"&amp;RIGHT(Automation!$B$3,2)</f>
        <v>Dec-19</v>
      </c>
      <c r="C26" s="234">
        <v>0</v>
      </c>
      <c r="D26" s="235" t="s">
        <v>415</v>
      </c>
      <c r="E26" s="244">
        <v>0</v>
      </c>
      <c r="F26" s="235" t="s">
        <v>415</v>
      </c>
      <c r="G26" s="919">
        <f t="shared" si="1"/>
        <v>13</v>
      </c>
      <c r="H26" s="205"/>
      <c r="I26" s="247"/>
    </row>
    <row r="27" spans="1:26">
      <c r="A27" s="187">
        <f t="shared" si="0"/>
        <v>14</v>
      </c>
      <c r="B27" s="209"/>
      <c r="C27" s="236"/>
      <c r="D27" s="248"/>
      <c r="E27" s="237"/>
      <c r="F27" s="249"/>
      <c r="G27" s="919">
        <f t="shared" si="1"/>
        <v>14</v>
      </c>
      <c r="H27" s="205"/>
      <c r="I27" s="205"/>
    </row>
    <row r="28" spans="1:26">
      <c r="A28" s="187">
        <f t="shared" si="0"/>
        <v>15</v>
      </c>
      <c r="B28" s="209" t="s">
        <v>45</v>
      </c>
      <c r="C28" s="238">
        <f>SUM(C14:C26)</f>
        <v>0</v>
      </c>
      <c r="D28" s="857" t="str">
        <f>"Sum Lines "&amp;A14&amp;" thru "&amp;A26</f>
        <v>Sum Lines 1 thru 13</v>
      </c>
      <c r="E28" s="238">
        <f>SUM(E14:E26)</f>
        <v>0</v>
      </c>
      <c r="F28" s="856" t="str">
        <f>"Sum Lines "&amp;A14&amp;" thru "&amp;A26</f>
        <v>Sum Lines 1 thru 13</v>
      </c>
      <c r="G28" s="919">
        <f t="shared" si="1"/>
        <v>15</v>
      </c>
      <c r="H28" s="205"/>
      <c r="I28" s="205"/>
    </row>
    <row r="29" spans="1:26">
      <c r="A29" s="187">
        <f t="shared" si="0"/>
        <v>16</v>
      </c>
      <c r="B29" s="216"/>
      <c r="C29" s="239"/>
      <c r="D29" s="251"/>
      <c r="E29" s="239"/>
      <c r="F29" s="252"/>
      <c r="G29" s="919">
        <f t="shared" si="1"/>
        <v>16</v>
      </c>
      <c r="H29" s="205"/>
      <c r="I29" s="205"/>
    </row>
    <row r="30" spans="1:26">
      <c r="A30" s="187">
        <f t="shared" si="0"/>
        <v>17</v>
      </c>
      <c r="B30" s="209"/>
      <c r="C30" s="237"/>
      <c r="D30" s="250"/>
      <c r="E30" s="237"/>
      <c r="F30" s="253"/>
      <c r="G30" s="919">
        <f t="shared" si="1"/>
        <v>17</v>
      </c>
      <c r="H30" s="205"/>
      <c r="I30" s="205"/>
    </row>
    <row r="31" spans="1:26">
      <c r="A31" s="187">
        <f t="shared" si="0"/>
        <v>18</v>
      </c>
      <c r="B31" s="209" t="s">
        <v>46</v>
      </c>
      <c r="C31" s="254">
        <f>C28/13</f>
        <v>0</v>
      </c>
      <c r="D31" s="857" t="str">
        <f>"Average of Lines "&amp;A14&amp;" thru "&amp;A26</f>
        <v>Average of Lines 1 thru 13</v>
      </c>
      <c r="E31" s="254">
        <f>E28/13</f>
        <v>0</v>
      </c>
      <c r="F31" s="856" t="str">
        <f>"Average of Lines "&amp;A14&amp;" thru "&amp;A26</f>
        <v>Average of Lines 1 thru 13</v>
      </c>
      <c r="G31" s="919">
        <f t="shared" si="1"/>
        <v>18</v>
      </c>
      <c r="H31" s="205"/>
      <c r="I31" s="247"/>
    </row>
    <row r="32" spans="1:26">
      <c r="A32" s="187">
        <f t="shared" si="0"/>
        <v>19</v>
      </c>
      <c r="B32" s="216"/>
      <c r="C32" s="239"/>
      <c r="D32" s="255"/>
      <c r="E32" s="239"/>
      <c r="F32" s="252"/>
      <c r="G32" s="919">
        <f t="shared" si="1"/>
        <v>19</v>
      </c>
      <c r="H32" s="205"/>
    </row>
    <row r="33" spans="1:7">
      <c r="A33" s="187"/>
      <c r="B33" s="227"/>
      <c r="C33" s="240"/>
      <c r="D33" s="240"/>
      <c r="E33" s="240"/>
      <c r="F33" s="242"/>
      <c r="G33" s="975"/>
    </row>
    <row r="34" spans="1:7">
      <c r="A34" s="187"/>
      <c r="C34" s="242"/>
      <c r="D34" s="242"/>
      <c r="E34" s="242"/>
      <c r="F34" s="242"/>
      <c r="G34" s="975"/>
    </row>
    <row r="35" spans="1:7" ht="18.75">
      <c r="A35" s="226">
        <v>1</v>
      </c>
      <c r="B35" s="227" t="s">
        <v>416</v>
      </c>
      <c r="C35" s="242"/>
      <c r="D35" s="242"/>
      <c r="E35" s="242"/>
      <c r="F35" s="242"/>
      <c r="G35" s="975"/>
    </row>
    <row r="36" spans="1:7">
      <c r="B36" s="227" t="s">
        <v>417</v>
      </c>
      <c r="C36" s="242"/>
      <c r="D36" s="242"/>
      <c r="E36" s="242"/>
      <c r="F36" s="242"/>
      <c r="G36" s="975"/>
    </row>
    <row r="37" spans="1:7">
      <c r="C37" s="242"/>
      <c r="D37" s="242"/>
      <c r="E37" s="242"/>
      <c r="F37" s="242"/>
      <c r="G37" s="975"/>
    </row>
    <row r="38" spans="1:7">
      <c r="C38" s="243"/>
      <c r="D38" s="243"/>
      <c r="E38" s="231"/>
      <c r="F38" s="231"/>
      <c r="G38" s="97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Z44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6" customWidth="1"/>
    <col min="4" max="4" width="25.140625" style="257" customWidth="1"/>
    <col min="5" max="5" width="18.5703125" style="170" customWidth="1"/>
    <col min="6" max="6" width="62.5703125" style="178" customWidth="1"/>
    <col min="7" max="7" width="5.140625" style="915" customWidth="1"/>
    <col min="8" max="8" width="24" style="205" customWidth="1"/>
    <col min="9" max="9" width="11" style="170" customWidth="1"/>
    <col min="10" max="10" width="7.140625" style="170" customWidth="1"/>
    <col min="11" max="11" width="9.140625" style="170" customWidth="1"/>
    <col min="12" max="12" width="14" style="170" customWidth="1"/>
    <col min="13" max="13" width="13.42578125" style="170" customWidth="1"/>
    <col min="14" max="16384" width="9.140625" style="170"/>
  </cols>
  <sheetData>
    <row r="2" spans="1:8">
      <c r="B2" s="1642" t="s">
        <v>17</v>
      </c>
      <c r="C2" s="1642"/>
      <c r="D2" s="1642"/>
      <c r="E2" s="1642"/>
      <c r="F2" s="1642"/>
    </row>
    <row r="3" spans="1:8">
      <c r="B3" s="1642" t="s">
        <v>18</v>
      </c>
      <c r="C3" s="1642"/>
      <c r="D3" s="1642"/>
      <c r="E3" s="1642"/>
      <c r="F3" s="1642"/>
    </row>
    <row r="4" spans="1:8">
      <c r="B4" s="1642" t="s">
        <v>19</v>
      </c>
      <c r="C4" s="1642"/>
      <c r="D4" s="1642"/>
      <c r="E4" s="1642"/>
      <c r="F4" s="1642"/>
    </row>
    <row r="5" spans="1:8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  <c r="F5" s="1642"/>
    </row>
    <row r="6" spans="1:8">
      <c r="B6" s="1647" t="s">
        <v>2</v>
      </c>
      <c r="C6" s="1647"/>
      <c r="D6" s="1647"/>
      <c r="E6" s="1647"/>
      <c r="F6" s="1647"/>
    </row>
    <row r="7" spans="1:8">
      <c r="B7" s="172"/>
      <c r="C7" s="173"/>
      <c r="D7" s="256"/>
      <c r="E7" s="172"/>
      <c r="F7" s="175"/>
    </row>
    <row r="8" spans="1:8">
      <c r="B8" s="1642" t="s">
        <v>52</v>
      </c>
      <c r="C8" s="1642"/>
      <c r="D8" s="1642"/>
      <c r="E8" s="1642"/>
      <c r="F8" s="1642"/>
    </row>
    <row r="10" spans="1:8">
      <c r="B10" s="179"/>
      <c r="C10" s="180" t="s">
        <v>30</v>
      </c>
      <c r="D10" s="258"/>
      <c r="E10" s="180"/>
      <c r="F10" s="181"/>
    </row>
    <row r="11" spans="1:8">
      <c r="A11" s="187"/>
      <c r="B11" s="182"/>
      <c r="C11" s="183" t="s">
        <v>53</v>
      </c>
      <c r="D11" s="259"/>
      <c r="E11" s="190" t="s">
        <v>53</v>
      </c>
      <c r="F11" s="184"/>
    </row>
    <row r="12" spans="1:8">
      <c r="A12" s="187" t="s">
        <v>3</v>
      </c>
      <c r="B12" s="189"/>
      <c r="C12" s="183" t="s">
        <v>32</v>
      </c>
      <c r="D12" s="184"/>
      <c r="E12" s="190" t="s">
        <v>32</v>
      </c>
      <c r="F12" s="184"/>
      <c r="G12" s="919" t="s">
        <v>3</v>
      </c>
    </row>
    <row r="13" spans="1:8" ht="18.75">
      <c r="A13" s="187" t="s">
        <v>24</v>
      </c>
      <c r="B13" s="191" t="s">
        <v>22</v>
      </c>
      <c r="C13" s="192" t="s">
        <v>34</v>
      </c>
      <c r="D13" s="193" t="s">
        <v>8</v>
      </c>
      <c r="E13" s="194" t="s">
        <v>414</v>
      </c>
      <c r="F13" s="193" t="s">
        <v>8</v>
      </c>
      <c r="G13" s="919" t="s">
        <v>24</v>
      </c>
    </row>
    <row r="14" spans="1:8">
      <c r="A14" s="187">
        <v>1</v>
      </c>
      <c r="B14" s="195" t="str">
        <f>"Dec-"&amp;RIGHT(Automation!$B$3-1,2)</f>
        <v>Dec-18</v>
      </c>
      <c r="C14" s="196">
        <v>564511.32339999999</v>
      </c>
      <c r="D14" s="197" t="s">
        <v>415</v>
      </c>
      <c r="E14" s="196">
        <v>522513.93392000004</v>
      </c>
      <c r="F14" s="197" t="s">
        <v>671</v>
      </c>
      <c r="G14" s="919">
        <f>A14</f>
        <v>1</v>
      </c>
      <c r="H14" s="200"/>
    </row>
    <row r="15" spans="1:8">
      <c r="A15" s="187">
        <f>A14+1</f>
        <v>2</v>
      </c>
      <c r="B15" s="195" t="str">
        <f>"Jan-"&amp;RIGHT(Automation!$B$3,2)</f>
        <v>Jan-19</v>
      </c>
      <c r="C15" s="201">
        <v>564544.76919000002</v>
      </c>
      <c r="D15" s="202"/>
      <c r="E15" s="201">
        <v>522593.62911000004</v>
      </c>
      <c r="F15" s="202"/>
      <c r="G15" s="919">
        <f>G14+1</f>
        <v>2</v>
      </c>
      <c r="H15" s="170"/>
    </row>
    <row r="16" spans="1:8">
      <c r="A16" s="187">
        <f t="shared" ref="A16:A32" si="0">A15+1</f>
        <v>3</v>
      </c>
      <c r="B16" s="195" t="s">
        <v>35</v>
      </c>
      <c r="C16" s="201">
        <v>564548.50946000009</v>
      </c>
      <c r="D16" s="202"/>
      <c r="E16" s="201">
        <v>522597.36937999999</v>
      </c>
      <c r="F16" s="202"/>
      <c r="G16" s="919">
        <f t="shared" ref="G16:G32" si="1">G15+1</f>
        <v>3</v>
      </c>
      <c r="H16" s="170"/>
    </row>
    <row r="17" spans="1:26">
      <c r="A17" s="187">
        <f t="shared" si="0"/>
        <v>4</v>
      </c>
      <c r="B17" s="195" t="s">
        <v>36</v>
      </c>
      <c r="C17" s="201">
        <v>564570.67850000004</v>
      </c>
      <c r="D17" s="202"/>
      <c r="E17" s="201">
        <v>522619.53842</v>
      </c>
      <c r="F17" s="202"/>
      <c r="G17" s="919">
        <f t="shared" si="1"/>
        <v>4</v>
      </c>
      <c r="H17" s="170"/>
    </row>
    <row r="18" spans="1:26">
      <c r="A18" s="187">
        <f t="shared" si="0"/>
        <v>5</v>
      </c>
      <c r="B18" s="195" t="s">
        <v>37</v>
      </c>
      <c r="C18" s="201">
        <v>565476.81808</v>
      </c>
      <c r="D18" s="202"/>
      <c r="E18" s="201">
        <v>523525.67800000001</v>
      </c>
      <c r="F18" s="202"/>
      <c r="G18" s="919">
        <f t="shared" si="1"/>
        <v>5</v>
      </c>
      <c r="H18" s="170"/>
    </row>
    <row r="19" spans="1:26">
      <c r="A19" s="187">
        <f t="shared" si="0"/>
        <v>6</v>
      </c>
      <c r="B19" s="195" t="s">
        <v>38</v>
      </c>
      <c r="C19" s="201">
        <v>565555.45825999998</v>
      </c>
      <c r="D19" s="202"/>
      <c r="E19" s="201">
        <v>523604.31818</v>
      </c>
      <c r="F19" s="202"/>
      <c r="G19" s="919">
        <f t="shared" si="1"/>
        <v>6</v>
      </c>
      <c r="H19" s="170"/>
    </row>
    <row r="20" spans="1:26">
      <c r="A20" s="187">
        <f>A19+1</f>
        <v>7</v>
      </c>
      <c r="B20" s="195" t="s">
        <v>39</v>
      </c>
      <c r="C20" s="201">
        <v>565554.01737999998</v>
      </c>
      <c r="D20" s="202"/>
      <c r="E20" s="201">
        <v>523602.87729999999</v>
      </c>
      <c r="F20" s="202"/>
      <c r="G20" s="919">
        <f>G19+1</f>
        <v>7</v>
      </c>
      <c r="H20" s="170"/>
    </row>
    <row r="21" spans="1:26">
      <c r="A21" s="187">
        <f t="shared" si="0"/>
        <v>8</v>
      </c>
      <c r="B21" s="195" t="s">
        <v>40</v>
      </c>
      <c r="C21" s="201">
        <v>565418.48864</v>
      </c>
      <c r="D21" s="202"/>
      <c r="E21" s="201">
        <v>523467.34856000001</v>
      </c>
      <c r="F21" s="202"/>
      <c r="G21" s="919">
        <f t="shared" si="1"/>
        <v>8</v>
      </c>
      <c r="H21" s="170"/>
    </row>
    <row r="22" spans="1:26">
      <c r="A22" s="187">
        <f t="shared" si="0"/>
        <v>9</v>
      </c>
      <c r="B22" s="195" t="s">
        <v>41</v>
      </c>
      <c r="C22" s="201">
        <v>565420.04308000009</v>
      </c>
      <c r="D22" s="202"/>
      <c r="E22" s="201">
        <v>523468.90299999999</v>
      </c>
      <c r="F22" s="202"/>
      <c r="G22" s="919">
        <f t="shared" si="1"/>
        <v>9</v>
      </c>
      <c r="H22" s="170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</row>
    <row r="23" spans="1:26">
      <c r="A23" s="187">
        <f t="shared" si="0"/>
        <v>10</v>
      </c>
      <c r="B23" s="195" t="s">
        <v>42</v>
      </c>
      <c r="C23" s="201">
        <v>565641.75853999995</v>
      </c>
      <c r="D23" s="202"/>
      <c r="E23" s="201">
        <v>523690.61846000003</v>
      </c>
      <c r="F23" s="202"/>
      <c r="G23" s="919">
        <f t="shared" si="1"/>
        <v>10</v>
      </c>
      <c r="H23" s="170"/>
    </row>
    <row r="24" spans="1:26">
      <c r="A24" s="187">
        <f t="shared" si="0"/>
        <v>11</v>
      </c>
      <c r="B24" s="195" t="s">
        <v>43</v>
      </c>
      <c r="C24" s="201">
        <v>565669.62540000002</v>
      </c>
      <c r="D24" s="202"/>
      <c r="E24" s="201">
        <v>523415.18961</v>
      </c>
      <c r="F24" s="202"/>
      <c r="G24" s="919">
        <f t="shared" si="1"/>
        <v>11</v>
      </c>
      <c r="H24" s="170"/>
    </row>
    <row r="25" spans="1:26">
      <c r="A25" s="187">
        <f t="shared" si="0"/>
        <v>12</v>
      </c>
      <c r="B25" s="195" t="s">
        <v>44</v>
      </c>
      <c r="C25" s="201">
        <v>565671.72338999994</v>
      </c>
      <c r="D25" s="202"/>
      <c r="E25" s="201">
        <v>523417.28749999998</v>
      </c>
      <c r="F25" s="202"/>
      <c r="G25" s="919">
        <f t="shared" si="1"/>
        <v>12</v>
      </c>
      <c r="H25" s="170"/>
    </row>
    <row r="26" spans="1:26">
      <c r="A26" s="187">
        <f t="shared" si="0"/>
        <v>13</v>
      </c>
      <c r="B26" s="207" t="str">
        <f>"Dec-"&amp;RIGHT(Automation!$B$3,2)</f>
        <v>Dec-19</v>
      </c>
      <c r="C26" s="201">
        <v>567152.84670999995</v>
      </c>
      <c r="D26" s="235" t="s">
        <v>415</v>
      </c>
      <c r="E26" s="265">
        <v>524898.41092000005</v>
      </c>
      <c r="F26" s="197" t="s">
        <v>669</v>
      </c>
      <c r="G26" s="919">
        <f t="shared" si="1"/>
        <v>13</v>
      </c>
      <c r="H26" s="200"/>
    </row>
    <row r="27" spans="1:26">
      <c r="A27" s="187">
        <f>A26+1</f>
        <v>14</v>
      </c>
      <c r="B27" s="209"/>
      <c r="C27" s="236"/>
      <c r="D27" s="220"/>
      <c r="E27" s="237"/>
      <c r="F27" s="211"/>
      <c r="G27" s="919">
        <f>G26+1</f>
        <v>14</v>
      </c>
      <c r="H27" s="170"/>
    </row>
    <row r="28" spans="1:26">
      <c r="A28" s="187">
        <f t="shared" si="0"/>
        <v>15</v>
      </c>
      <c r="B28" s="209" t="s">
        <v>45</v>
      </c>
      <c r="C28" s="214">
        <f>SUM(C14:C26)</f>
        <v>7349736.0600300012</v>
      </c>
      <c r="D28" s="858" t="str">
        <f>"Sum Lines "&amp;A14&amp;" thru "&amp;A26</f>
        <v>Sum Lines 1 thru 13</v>
      </c>
      <c r="E28" s="214">
        <f>SUM(E14:E26)</f>
        <v>6803415.102359998</v>
      </c>
      <c r="F28" s="858" t="str">
        <f>"Sum Lines "&amp;A14&amp;" thru "&amp;A26</f>
        <v>Sum Lines 1 thru 13</v>
      </c>
      <c r="G28" s="919">
        <f t="shared" si="1"/>
        <v>15</v>
      </c>
      <c r="H28" s="170"/>
    </row>
    <row r="29" spans="1:26">
      <c r="A29" s="187">
        <f t="shared" si="0"/>
        <v>16</v>
      </c>
      <c r="B29" s="216"/>
      <c r="C29" s="217"/>
      <c r="D29" s="260"/>
      <c r="E29" s="217"/>
      <c r="F29" s="260"/>
      <c r="G29" s="919">
        <f t="shared" si="1"/>
        <v>16</v>
      </c>
      <c r="H29" s="170"/>
    </row>
    <row r="30" spans="1:26">
      <c r="A30" s="187">
        <f t="shared" si="0"/>
        <v>17</v>
      </c>
      <c r="B30" s="209"/>
      <c r="C30" s="214"/>
      <c r="D30" s="215"/>
      <c r="E30" s="214"/>
      <c r="F30" s="215"/>
      <c r="G30" s="919">
        <f t="shared" si="1"/>
        <v>17</v>
      </c>
      <c r="H30" s="170"/>
    </row>
    <row r="31" spans="1:26">
      <c r="A31" s="187">
        <f t="shared" si="0"/>
        <v>18</v>
      </c>
      <c r="B31" s="209" t="s">
        <v>46</v>
      </c>
      <c r="C31" s="214">
        <f>C28/13</f>
        <v>565364.31231000007</v>
      </c>
      <c r="D31" s="858" t="str">
        <f>"Average of Lines "&amp;A14&amp;" thru "&amp;A26</f>
        <v>Average of Lines 1 thru 13</v>
      </c>
      <c r="E31" s="214">
        <f>E28/13</f>
        <v>523339.62325846136</v>
      </c>
      <c r="F31" s="197" t="s">
        <v>670</v>
      </c>
      <c r="G31" s="919">
        <f t="shared" si="1"/>
        <v>18</v>
      </c>
      <c r="H31" s="200"/>
    </row>
    <row r="32" spans="1:26">
      <c r="A32" s="187">
        <f t="shared" si="0"/>
        <v>19</v>
      </c>
      <c r="B32" s="216"/>
      <c r="C32" s="239"/>
      <c r="D32" s="218"/>
      <c r="E32" s="239"/>
      <c r="F32" s="218"/>
      <c r="G32" s="919">
        <f t="shared" si="1"/>
        <v>19</v>
      </c>
      <c r="H32" s="170"/>
    </row>
    <row r="33" spans="1:8">
      <c r="B33" s="227"/>
      <c r="C33" s="240"/>
      <c r="D33" s="261"/>
      <c r="E33" s="240"/>
      <c r="F33" s="241"/>
      <c r="H33" s="170"/>
    </row>
    <row r="34" spans="1:8">
      <c r="C34" s="240"/>
      <c r="D34" s="261"/>
      <c r="E34" s="240"/>
      <c r="F34" s="241"/>
      <c r="H34" s="170"/>
    </row>
    <row r="35" spans="1:8" ht="18.75">
      <c r="A35" s="226">
        <v>1</v>
      </c>
      <c r="B35" s="227" t="s">
        <v>416</v>
      </c>
      <c r="C35" s="240"/>
      <c r="D35" s="261"/>
      <c r="E35" s="240"/>
      <c r="F35" s="241"/>
    </row>
    <row r="36" spans="1:8">
      <c r="B36" s="227" t="s">
        <v>417</v>
      </c>
      <c r="C36" s="240"/>
      <c r="D36" s="261"/>
      <c r="E36" s="240"/>
      <c r="F36" s="241"/>
    </row>
    <row r="37" spans="1:8">
      <c r="C37" s="240"/>
      <c r="D37" s="261"/>
      <c r="E37" s="240"/>
      <c r="F37" s="241"/>
    </row>
    <row r="38" spans="1:8">
      <c r="C38" s="240"/>
      <c r="D38" s="261"/>
      <c r="E38" s="240"/>
      <c r="F38" s="241"/>
    </row>
    <row r="39" spans="1:8">
      <c r="C39" s="262"/>
      <c r="D39" s="262"/>
      <c r="E39" s="262"/>
      <c r="F39" s="262"/>
      <c r="G39" s="976"/>
    </row>
    <row r="40" spans="1:8">
      <c r="E40" s="263"/>
    </row>
    <row r="41" spans="1:8">
      <c r="E41" s="263"/>
    </row>
    <row r="42" spans="1:8">
      <c r="E42" s="263"/>
    </row>
    <row r="43" spans="1:8">
      <c r="E43" s="264"/>
    </row>
    <row r="44" spans="1:8">
      <c r="E44" s="263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I27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6" customWidth="1"/>
    <col min="4" max="4" width="29.140625" style="176" bestFit="1" customWidth="1"/>
    <col min="5" max="5" width="18.5703125" style="170" customWidth="1"/>
    <col min="6" max="6" width="62.5703125" style="170" customWidth="1"/>
    <col min="7" max="7" width="5.140625" style="915" customWidth="1"/>
    <col min="8" max="8" width="24" style="170" customWidth="1"/>
    <col min="9" max="9" width="11" style="170" customWidth="1"/>
    <col min="10" max="10" width="7.140625" style="170" customWidth="1"/>
    <col min="11" max="11" width="9.140625" style="170" customWidth="1"/>
    <col min="12" max="12" width="14" style="170" customWidth="1"/>
    <col min="13" max="13" width="13.42578125" style="170" customWidth="1"/>
    <col min="14" max="16384" width="9.140625" style="170"/>
  </cols>
  <sheetData>
    <row r="2" spans="1:9">
      <c r="B2" s="1642" t="s">
        <v>17</v>
      </c>
      <c r="C2" s="1642"/>
      <c r="D2" s="1642"/>
      <c r="E2" s="1642"/>
      <c r="F2" s="1642"/>
    </row>
    <row r="3" spans="1:9">
      <c r="B3" s="1642" t="s">
        <v>18</v>
      </c>
      <c r="C3" s="1642"/>
      <c r="D3" s="1642"/>
      <c r="E3" s="1642"/>
      <c r="F3" s="1642"/>
    </row>
    <row r="4" spans="1:9">
      <c r="B4" s="1642" t="s">
        <v>19</v>
      </c>
      <c r="C4" s="1642"/>
      <c r="D4" s="1642"/>
      <c r="E4" s="1642"/>
      <c r="F4" s="1642"/>
    </row>
    <row r="5" spans="1:9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  <c r="F5" s="1642"/>
    </row>
    <row r="6" spans="1:9">
      <c r="B6" s="1647" t="s">
        <v>2</v>
      </c>
      <c r="C6" s="1647"/>
      <c r="D6" s="1647"/>
      <c r="E6" s="1647"/>
      <c r="F6" s="1647"/>
    </row>
    <row r="7" spans="1:9">
      <c r="B7" s="172"/>
      <c r="C7" s="173"/>
      <c r="D7" s="173"/>
      <c r="E7" s="172"/>
      <c r="F7" s="172"/>
    </row>
    <row r="8" spans="1:9">
      <c r="B8" s="1642" t="s">
        <v>54</v>
      </c>
      <c r="C8" s="1642"/>
      <c r="D8" s="1642"/>
      <c r="E8" s="1642"/>
      <c r="F8" s="1642"/>
    </row>
    <row r="9" spans="1:9">
      <c r="G9" s="919"/>
    </row>
    <row r="10" spans="1:9">
      <c r="B10" s="179"/>
      <c r="C10" s="180" t="s">
        <v>30</v>
      </c>
      <c r="D10" s="245"/>
      <c r="E10" s="180"/>
      <c r="F10" s="245"/>
      <c r="G10" s="919"/>
    </row>
    <row r="11" spans="1:9">
      <c r="B11" s="182"/>
      <c r="C11" s="183" t="s">
        <v>55</v>
      </c>
      <c r="D11" s="259"/>
      <c r="E11" s="190" t="s">
        <v>55</v>
      </c>
      <c r="F11" s="259"/>
      <c r="G11" s="919"/>
    </row>
    <row r="12" spans="1:9">
      <c r="A12" s="187" t="s">
        <v>3</v>
      </c>
      <c r="B12" s="189"/>
      <c r="C12" s="183" t="s">
        <v>56</v>
      </c>
      <c r="D12" s="184"/>
      <c r="E12" s="190" t="s">
        <v>56</v>
      </c>
      <c r="F12" s="184"/>
      <c r="G12" s="919" t="s">
        <v>3</v>
      </c>
    </row>
    <row r="13" spans="1:9" ht="18.75">
      <c r="A13" s="187" t="s">
        <v>24</v>
      </c>
      <c r="B13" s="191" t="s">
        <v>22</v>
      </c>
      <c r="C13" s="192" t="s">
        <v>34</v>
      </c>
      <c r="D13" s="193" t="s">
        <v>8</v>
      </c>
      <c r="E13" s="194" t="s">
        <v>414</v>
      </c>
      <c r="F13" s="193" t="s">
        <v>8</v>
      </c>
      <c r="G13" s="919" t="s">
        <v>24</v>
      </c>
    </row>
    <row r="14" spans="1:9">
      <c r="A14" s="266"/>
      <c r="B14" s="268"/>
      <c r="C14" s="269"/>
      <c r="D14" s="182"/>
      <c r="E14" s="190"/>
      <c r="F14" s="182"/>
      <c r="G14" s="266"/>
    </row>
    <row r="15" spans="1:9">
      <c r="A15" s="187">
        <v>1</v>
      </c>
      <c r="B15" s="195" t="str">
        <f>"Dec-"&amp;RIGHT(Automation!$B$3-1,2)</f>
        <v>Dec-18</v>
      </c>
      <c r="C15" s="196">
        <v>6832320.6945699994</v>
      </c>
      <c r="D15" s="270" t="s">
        <v>415</v>
      </c>
      <c r="E15" s="198">
        <v>6940409.5029000007</v>
      </c>
      <c r="F15" s="270" t="s">
        <v>671</v>
      </c>
      <c r="G15" s="919">
        <f>A15</f>
        <v>1</v>
      </c>
      <c r="H15" s="205"/>
      <c r="I15" s="200"/>
    </row>
    <row r="16" spans="1:9">
      <c r="A16" s="187">
        <f>A15+1</f>
        <v>2</v>
      </c>
      <c r="B16" s="195"/>
      <c r="C16" s="201"/>
      <c r="D16" s="270"/>
      <c r="E16" s="203"/>
      <c r="F16" s="270"/>
      <c r="G16" s="919">
        <f>G15+1</f>
        <v>2</v>
      </c>
      <c r="H16" s="205"/>
    </row>
    <row r="17" spans="1:9" ht="15.6" customHeight="1">
      <c r="A17" s="187">
        <f t="shared" ref="A17:A21" si="0">A16+1</f>
        <v>3</v>
      </c>
      <c r="B17" s="195" t="str">
        <f>"Dec-"&amp;RIGHT(Automation!$B$3,2)</f>
        <v>Dec-19</v>
      </c>
      <c r="C17" s="271">
        <v>7297523.8793900004</v>
      </c>
      <c r="D17" s="270" t="s">
        <v>415</v>
      </c>
      <c r="E17" s="271">
        <v>7414162.6777100004</v>
      </c>
      <c r="F17" s="270" t="s">
        <v>669</v>
      </c>
      <c r="G17" s="919">
        <f t="shared" ref="G17:G21" si="1">G16+1</f>
        <v>3</v>
      </c>
      <c r="H17" s="205"/>
      <c r="I17" s="200"/>
    </row>
    <row r="18" spans="1:9">
      <c r="A18" s="187">
        <f t="shared" si="0"/>
        <v>4</v>
      </c>
      <c r="B18" s="272"/>
      <c r="C18" s="273"/>
      <c r="D18" s="274"/>
      <c r="E18" s="273"/>
      <c r="F18" s="274"/>
      <c r="G18" s="919">
        <f t="shared" si="1"/>
        <v>4</v>
      </c>
      <c r="H18" s="205"/>
    </row>
    <row r="19" spans="1:9">
      <c r="A19" s="187">
        <f>A18+1</f>
        <v>5</v>
      </c>
      <c r="B19" s="209"/>
      <c r="C19" s="237"/>
      <c r="D19" s="209"/>
      <c r="E19" s="237"/>
      <c r="F19" s="209"/>
      <c r="G19" s="919">
        <f>G18+1</f>
        <v>5</v>
      </c>
    </row>
    <row r="20" spans="1:9">
      <c r="A20" s="187">
        <f t="shared" si="0"/>
        <v>6</v>
      </c>
      <c r="B20" s="209" t="s">
        <v>26</v>
      </c>
      <c r="C20" s="214">
        <f>(C15+C17)/2</f>
        <v>7064922.2869799994</v>
      </c>
      <c r="D20" s="376" t="str">
        <f>"Average of Line "&amp;A15&amp;" and Line "&amp;A17</f>
        <v>Average of Line 1 and Line 3</v>
      </c>
      <c r="E20" s="214">
        <f>(E15+E17)/2</f>
        <v>7177286.0903050005</v>
      </c>
      <c r="F20" s="275" t="str">
        <f>"Average of Line "&amp;A15&amp;" and Line "&amp;A17</f>
        <v>Average of Line 1 and Line 3</v>
      </c>
      <c r="G20" s="919">
        <f t="shared" si="1"/>
        <v>6</v>
      </c>
    </row>
    <row r="21" spans="1:9">
      <c r="A21" s="187">
        <f t="shared" si="0"/>
        <v>7</v>
      </c>
      <c r="B21" s="216"/>
      <c r="C21" s="217"/>
      <c r="D21" s="276"/>
      <c r="E21" s="217"/>
      <c r="F21" s="277"/>
      <c r="G21" s="919">
        <f t="shared" si="1"/>
        <v>7</v>
      </c>
    </row>
    <row r="22" spans="1:9">
      <c r="B22" s="227"/>
      <c r="C22" s="227"/>
      <c r="D22" s="267"/>
      <c r="E22" s="227"/>
      <c r="F22" s="227"/>
    </row>
    <row r="23" spans="1:9">
      <c r="C23" s="227"/>
      <c r="D23" s="227"/>
      <c r="E23" s="278"/>
      <c r="F23" s="227"/>
    </row>
    <row r="24" spans="1:9" ht="18.75">
      <c r="A24" s="226">
        <v>1</v>
      </c>
      <c r="B24" s="227" t="s">
        <v>416</v>
      </c>
      <c r="C24" s="227"/>
      <c r="D24" s="227"/>
      <c r="E24" s="227"/>
      <c r="F24" s="227"/>
    </row>
    <row r="25" spans="1:9">
      <c r="B25" s="227" t="s">
        <v>417</v>
      </c>
      <c r="C25" s="227"/>
      <c r="D25" s="227"/>
      <c r="E25" s="227"/>
      <c r="F25" s="227"/>
    </row>
    <row r="26" spans="1:9">
      <c r="C26" s="227"/>
      <c r="D26" s="227"/>
      <c r="E26" s="227"/>
      <c r="F26" s="227"/>
    </row>
    <row r="27" spans="1:9">
      <c r="C27" s="227"/>
      <c r="D27" s="227"/>
      <c r="E27" s="227"/>
      <c r="F27" s="227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3" orientation="landscape" r:id="rId1"/>
  <headerFooter scaleWithDoc="0">
    <oddFooter>&amp;C&amp;"Times New Roman,Regular"&amp;10&amp;A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Z46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6" customWidth="1"/>
    <col min="4" max="4" width="25.140625" style="176" customWidth="1"/>
    <col min="5" max="5" width="18.5703125" style="170" customWidth="1"/>
    <col min="6" max="6" width="62.5703125" style="170" customWidth="1"/>
    <col min="7" max="7" width="5.140625" style="915" customWidth="1"/>
    <col min="8" max="8" width="24" style="170" customWidth="1"/>
    <col min="9" max="9" width="11" style="170" customWidth="1"/>
    <col min="10" max="10" width="9.85546875" style="170" customWidth="1"/>
    <col min="11" max="11" width="9.140625" style="170" customWidth="1"/>
    <col min="12" max="12" width="14" style="170" customWidth="1"/>
    <col min="13" max="13" width="13.42578125" style="170" customWidth="1"/>
    <col min="14" max="16384" width="9.140625" style="170"/>
  </cols>
  <sheetData>
    <row r="2" spans="1:11">
      <c r="B2" s="1642" t="s">
        <v>17</v>
      </c>
      <c r="C2" s="1642"/>
      <c r="D2" s="1642"/>
      <c r="E2" s="1642"/>
      <c r="F2" s="1642"/>
    </row>
    <row r="3" spans="1:11">
      <c r="B3" s="1642" t="s">
        <v>18</v>
      </c>
      <c r="C3" s="1642"/>
      <c r="D3" s="1642"/>
      <c r="E3" s="1642"/>
      <c r="F3" s="1642"/>
    </row>
    <row r="4" spans="1:11">
      <c r="B4" s="1642" t="s">
        <v>19</v>
      </c>
      <c r="C4" s="1642"/>
      <c r="D4" s="1642"/>
      <c r="E4" s="1642"/>
      <c r="F4" s="1642"/>
    </row>
    <row r="5" spans="1:11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  <c r="F5" s="1642"/>
    </row>
    <row r="6" spans="1:11">
      <c r="B6" s="1647" t="s">
        <v>2</v>
      </c>
      <c r="C6" s="1647"/>
      <c r="D6" s="1647"/>
      <c r="E6" s="1647"/>
      <c r="F6" s="1647"/>
    </row>
    <row r="7" spans="1:11">
      <c r="B7" s="172"/>
      <c r="C7" s="173"/>
      <c r="D7" s="173"/>
      <c r="E7" s="172"/>
      <c r="F7" s="172"/>
    </row>
    <row r="8" spans="1:11">
      <c r="B8" s="1642" t="s">
        <v>57</v>
      </c>
      <c r="C8" s="1642"/>
      <c r="D8" s="1642"/>
      <c r="E8" s="1642"/>
      <c r="F8" s="1642"/>
    </row>
    <row r="10" spans="1:11">
      <c r="B10" s="179"/>
      <c r="C10" s="180" t="s">
        <v>30</v>
      </c>
      <c r="D10" s="245"/>
      <c r="E10" s="180"/>
      <c r="F10" s="245"/>
    </row>
    <row r="11" spans="1:11">
      <c r="B11" s="182"/>
      <c r="C11" s="190" t="s">
        <v>58</v>
      </c>
      <c r="D11" s="259"/>
      <c r="E11" s="190" t="s">
        <v>58</v>
      </c>
      <c r="F11" s="259"/>
      <c r="G11" s="919"/>
    </row>
    <row r="12" spans="1:11">
      <c r="A12" s="187" t="s">
        <v>3</v>
      </c>
      <c r="B12" s="189"/>
      <c r="C12" s="190" t="s">
        <v>56</v>
      </c>
      <c r="D12" s="184"/>
      <c r="E12" s="190" t="s">
        <v>56</v>
      </c>
      <c r="F12" s="259"/>
      <c r="G12" s="919" t="s">
        <v>3</v>
      </c>
    </row>
    <row r="13" spans="1:11" ht="18.75">
      <c r="A13" s="187" t="s">
        <v>24</v>
      </c>
      <c r="B13" s="191" t="s">
        <v>22</v>
      </c>
      <c r="C13" s="194" t="s">
        <v>34</v>
      </c>
      <c r="D13" s="193" t="s">
        <v>8</v>
      </c>
      <c r="E13" s="194" t="s">
        <v>414</v>
      </c>
      <c r="F13" s="907" t="s">
        <v>8</v>
      </c>
      <c r="G13" s="919" t="s">
        <v>24</v>
      </c>
    </row>
    <row r="14" spans="1:11">
      <c r="A14" s="187">
        <v>1</v>
      </c>
      <c r="B14" s="195" t="str">
        <f>"Dec-"&amp;RIGHT(Automation!$B$3-1,2)</f>
        <v>Dec-18</v>
      </c>
      <c r="C14" s="196">
        <v>6132005.6036999999</v>
      </c>
      <c r="D14" s="270" t="s">
        <v>415</v>
      </c>
      <c r="E14" s="198">
        <v>6051311.84779</v>
      </c>
      <c r="F14" s="270" t="s">
        <v>671</v>
      </c>
      <c r="G14" s="919">
        <f>A14</f>
        <v>1</v>
      </c>
      <c r="H14" s="200"/>
      <c r="K14" s="263"/>
    </row>
    <row r="15" spans="1:11">
      <c r="A15" s="187">
        <f>A14+1</f>
        <v>2</v>
      </c>
      <c r="B15" s="195" t="str">
        <f>"Jan-"&amp;RIGHT(Automation!$B$3,2)</f>
        <v>Jan-19</v>
      </c>
      <c r="C15" s="201">
        <v>6145191.5003199996</v>
      </c>
      <c r="D15" s="280"/>
      <c r="E15" s="203">
        <v>6064502.6782499999</v>
      </c>
      <c r="F15" s="280"/>
      <c r="G15" s="919">
        <f>G14+1</f>
        <v>2</v>
      </c>
      <c r="H15" s="263"/>
      <c r="K15" s="263"/>
    </row>
    <row r="16" spans="1:11">
      <c r="A16" s="187">
        <f t="shared" ref="A16:A36" si="0">A15+1</f>
        <v>3</v>
      </c>
      <c r="B16" s="195" t="s">
        <v>35</v>
      </c>
      <c r="C16" s="201">
        <v>6152091.6033600001</v>
      </c>
      <c r="D16" s="280"/>
      <c r="E16" s="203">
        <v>6069619.4498500004</v>
      </c>
      <c r="F16" s="280"/>
      <c r="G16" s="919">
        <f t="shared" ref="G16:G36" si="1">G15+1</f>
        <v>3</v>
      </c>
      <c r="H16" s="263"/>
      <c r="K16" s="263"/>
    </row>
    <row r="17" spans="1:26">
      <c r="A17" s="187">
        <f t="shared" si="0"/>
        <v>4</v>
      </c>
      <c r="B17" s="195" t="s">
        <v>36</v>
      </c>
      <c r="C17" s="201">
        <v>6174518.1479200004</v>
      </c>
      <c r="D17" s="280"/>
      <c r="E17" s="203">
        <v>6092079.9307399997</v>
      </c>
      <c r="F17" s="280"/>
      <c r="G17" s="919">
        <f t="shared" si="1"/>
        <v>4</v>
      </c>
      <c r="H17" s="263"/>
      <c r="K17" s="263"/>
    </row>
    <row r="18" spans="1:26">
      <c r="A18" s="187">
        <f t="shared" si="0"/>
        <v>5</v>
      </c>
      <c r="B18" s="195" t="s">
        <v>37</v>
      </c>
      <c r="C18" s="201">
        <v>6179152.2108199997</v>
      </c>
      <c r="D18" s="280"/>
      <c r="E18" s="203">
        <v>6092361.2151299994</v>
      </c>
      <c r="F18" s="280"/>
      <c r="G18" s="919">
        <f t="shared" si="1"/>
        <v>5</v>
      </c>
      <c r="H18" s="263"/>
      <c r="K18" s="263"/>
    </row>
    <row r="19" spans="1:26">
      <c r="A19" s="187">
        <f t="shared" si="0"/>
        <v>6</v>
      </c>
      <c r="B19" s="195" t="s">
        <v>38</v>
      </c>
      <c r="C19" s="201">
        <v>6181866.1240799995</v>
      </c>
      <c r="D19" s="280"/>
      <c r="E19" s="203">
        <v>6092198.2038899995</v>
      </c>
      <c r="F19" s="280"/>
      <c r="G19" s="919">
        <f t="shared" si="1"/>
        <v>6</v>
      </c>
      <c r="H19" s="263"/>
      <c r="K19" s="263"/>
    </row>
    <row r="20" spans="1:26">
      <c r="A20" s="187">
        <f>A19+1</f>
        <v>7</v>
      </c>
      <c r="B20" s="195" t="s">
        <v>39</v>
      </c>
      <c r="C20" s="201">
        <v>6273960.0812499998</v>
      </c>
      <c r="D20" s="280"/>
      <c r="E20" s="203">
        <v>6184281.7674099999</v>
      </c>
      <c r="F20" s="280"/>
      <c r="G20" s="919">
        <f>G19+1</f>
        <v>7</v>
      </c>
      <c r="H20" s="263"/>
      <c r="K20" s="263"/>
    </row>
    <row r="21" spans="1:26">
      <c r="A21" s="187">
        <f t="shared" si="0"/>
        <v>8</v>
      </c>
      <c r="B21" s="195" t="s">
        <v>40</v>
      </c>
      <c r="C21" s="201">
        <v>6326105.0428200001</v>
      </c>
      <c r="D21" s="280"/>
      <c r="E21" s="203">
        <v>6236418.1775099989</v>
      </c>
      <c r="F21" s="280"/>
      <c r="G21" s="919">
        <f t="shared" si="1"/>
        <v>8</v>
      </c>
      <c r="H21" s="263"/>
      <c r="K21" s="263"/>
    </row>
    <row r="22" spans="1:26">
      <c r="A22" s="187">
        <f t="shared" si="0"/>
        <v>9</v>
      </c>
      <c r="B22" s="195" t="s">
        <v>41</v>
      </c>
      <c r="C22" s="201">
        <v>6325820.9437899999</v>
      </c>
      <c r="D22" s="280"/>
      <c r="E22" s="203">
        <v>6236100.5643200008</v>
      </c>
      <c r="F22" s="280"/>
      <c r="G22" s="919">
        <f t="shared" si="1"/>
        <v>9</v>
      </c>
      <c r="H22" s="263"/>
      <c r="K22" s="263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</row>
    <row r="23" spans="1:26">
      <c r="A23" s="187">
        <f t="shared" si="0"/>
        <v>10</v>
      </c>
      <c r="B23" s="195" t="s">
        <v>42</v>
      </c>
      <c r="C23" s="201">
        <v>6308970.3775699995</v>
      </c>
      <c r="D23" s="280"/>
      <c r="E23" s="203">
        <v>6219193.9536099993</v>
      </c>
      <c r="F23" s="280"/>
      <c r="G23" s="919">
        <f t="shared" si="1"/>
        <v>10</v>
      </c>
      <c r="H23" s="263"/>
      <c r="K23" s="263"/>
    </row>
    <row r="24" spans="1:26">
      <c r="A24" s="187">
        <f t="shared" si="0"/>
        <v>11</v>
      </c>
      <c r="B24" s="195" t="s">
        <v>43</v>
      </c>
      <c r="C24" s="201">
        <v>6415645.4859600002</v>
      </c>
      <c r="D24" s="280"/>
      <c r="E24" s="203">
        <v>6325824.8509900011</v>
      </c>
      <c r="F24" s="280"/>
      <c r="G24" s="919">
        <f t="shared" si="1"/>
        <v>11</v>
      </c>
      <c r="H24" s="263"/>
      <c r="K24" s="263"/>
    </row>
    <row r="25" spans="1:26">
      <c r="A25" s="187">
        <f t="shared" si="0"/>
        <v>12</v>
      </c>
      <c r="B25" s="195" t="s">
        <v>44</v>
      </c>
      <c r="C25" s="201">
        <v>6437064.5216199998</v>
      </c>
      <c r="D25" s="280"/>
      <c r="E25" s="203">
        <v>6347244.9239400001</v>
      </c>
      <c r="F25" s="280"/>
      <c r="G25" s="919">
        <f t="shared" si="1"/>
        <v>12</v>
      </c>
      <c r="H25" s="263"/>
      <c r="K25" s="263"/>
    </row>
    <row r="26" spans="1:26">
      <c r="A26" s="187">
        <f t="shared" si="0"/>
        <v>13</v>
      </c>
      <c r="B26" s="207" t="str">
        <f>"Dec-"&amp;RIGHT(Automation!$B$3,2)</f>
        <v>Dec-19</v>
      </c>
      <c r="C26" s="265">
        <v>6462479.6375200003</v>
      </c>
      <c r="D26" s="281" t="s">
        <v>415</v>
      </c>
      <c r="E26" s="291">
        <v>6372653.5807800004</v>
      </c>
      <c r="F26" s="270" t="s">
        <v>669</v>
      </c>
      <c r="G26" s="919">
        <f t="shared" si="1"/>
        <v>13</v>
      </c>
      <c r="H26" s="200"/>
      <c r="K26" s="263"/>
    </row>
    <row r="27" spans="1:26">
      <c r="A27" s="187">
        <f t="shared" si="0"/>
        <v>14</v>
      </c>
      <c r="B27" s="209"/>
      <c r="C27" s="236"/>
      <c r="D27" s="282"/>
      <c r="E27" s="237"/>
      <c r="F27" s="385"/>
      <c r="G27" s="919">
        <f t="shared" si="1"/>
        <v>14</v>
      </c>
    </row>
    <row r="28" spans="1:26">
      <c r="A28" s="187">
        <f t="shared" si="0"/>
        <v>15</v>
      </c>
      <c r="B28" s="209" t="s">
        <v>45</v>
      </c>
      <c r="C28" s="214">
        <f>SUM(C14:C26)</f>
        <v>81514871.280730009</v>
      </c>
      <c r="D28" s="380" t="str">
        <f>"Sum Lines "&amp;A14&amp;" thru "&amp;A26</f>
        <v>Sum Lines 1 thru 13</v>
      </c>
      <c r="E28" s="214">
        <f>SUM(E14:E26)</f>
        <v>80383791.144209996</v>
      </c>
      <c r="F28" s="380" t="str">
        <f>"Sum Lines "&amp;A14&amp;" thru "&amp;A26</f>
        <v>Sum Lines 1 thru 13</v>
      </c>
      <c r="G28" s="919">
        <f t="shared" si="1"/>
        <v>15</v>
      </c>
    </row>
    <row r="29" spans="1:26">
      <c r="A29" s="187">
        <f t="shared" si="0"/>
        <v>16</v>
      </c>
      <c r="B29" s="216"/>
      <c r="C29" s="217"/>
      <c r="D29" s="284"/>
      <c r="E29" s="217"/>
      <c r="F29" s="284"/>
      <c r="G29" s="919">
        <f t="shared" si="1"/>
        <v>16</v>
      </c>
    </row>
    <row r="30" spans="1:26">
      <c r="A30" s="187">
        <f t="shared" si="0"/>
        <v>17</v>
      </c>
      <c r="B30" s="209"/>
      <c r="C30" s="237"/>
      <c r="D30" s="283"/>
      <c r="E30" s="237"/>
      <c r="F30" s="283"/>
      <c r="G30" s="919">
        <f t="shared" si="1"/>
        <v>17</v>
      </c>
    </row>
    <row r="31" spans="1:26">
      <c r="A31" s="187">
        <f t="shared" si="0"/>
        <v>18</v>
      </c>
      <c r="B31" s="209" t="s">
        <v>46</v>
      </c>
      <c r="C31" s="214">
        <f>C28/13</f>
        <v>6270374.7139023086</v>
      </c>
      <c r="D31" s="380" t="str">
        <f>"Average of Lines "&amp;A14&amp;" thru "&amp;A26</f>
        <v>Average of Lines 1 thru 13</v>
      </c>
      <c r="E31" s="214">
        <f>E28/13</f>
        <v>6183368.5495546153</v>
      </c>
      <c r="F31" s="270" t="s">
        <v>670</v>
      </c>
      <c r="G31" s="919">
        <f t="shared" si="1"/>
        <v>18</v>
      </c>
      <c r="H31" s="200"/>
    </row>
    <row r="32" spans="1:26">
      <c r="A32" s="187">
        <f t="shared" si="0"/>
        <v>19</v>
      </c>
      <c r="B32" s="216"/>
      <c r="C32" s="222"/>
      <c r="D32" s="286"/>
      <c r="E32" s="222"/>
      <c r="F32" s="286"/>
      <c r="G32" s="919">
        <f t="shared" si="1"/>
        <v>19</v>
      </c>
    </row>
    <row r="33" spans="1:8">
      <c r="A33" s="187">
        <f t="shared" si="0"/>
        <v>20</v>
      </c>
      <c r="B33" s="227"/>
      <c r="C33" s="227"/>
      <c r="D33" s="267"/>
      <c r="E33" s="227"/>
      <c r="F33" s="227"/>
      <c r="G33" s="919">
        <f t="shared" si="1"/>
        <v>20</v>
      </c>
    </row>
    <row r="34" spans="1:8" ht="18.75">
      <c r="A34" s="187">
        <f t="shared" si="0"/>
        <v>21</v>
      </c>
      <c r="B34" s="1340" t="s">
        <v>880</v>
      </c>
      <c r="C34" s="227"/>
      <c r="D34" s="267"/>
      <c r="E34" s="1106">
        <f>'AD-6A'!E31</f>
        <v>14538.461538461539</v>
      </c>
      <c r="F34" s="292" t="s">
        <v>279</v>
      </c>
      <c r="G34" s="919">
        <f t="shared" si="1"/>
        <v>21</v>
      </c>
    </row>
    <row r="35" spans="1:8">
      <c r="A35" s="187">
        <f t="shared" si="0"/>
        <v>22</v>
      </c>
      <c r="B35" s="227"/>
      <c r="C35" s="227"/>
      <c r="D35" s="267"/>
      <c r="E35" s="227"/>
      <c r="F35" s="227"/>
      <c r="G35" s="919">
        <f t="shared" si="1"/>
        <v>22</v>
      </c>
    </row>
    <row r="36" spans="1:8" ht="16.5" thickBot="1">
      <c r="A36" s="187">
        <f t="shared" si="0"/>
        <v>23</v>
      </c>
      <c r="B36" s="170" t="s">
        <v>270</v>
      </c>
      <c r="C36" s="227"/>
      <c r="D36" s="267"/>
      <c r="E36" s="542">
        <f>E31+E34</f>
        <v>6197907.0110930772</v>
      </c>
      <c r="F36" s="187" t="str">
        <f>"Line "&amp;A31&amp;" + Line "&amp;A34</f>
        <v>Line 18 + Line 21</v>
      </c>
      <c r="G36" s="919">
        <f t="shared" si="1"/>
        <v>23</v>
      </c>
    </row>
    <row r="37" spans="1:8" ht="16.5" thickTop="1">
      <c r="A37" s="187"/>
      <c r="B37" s="227"/>
      <c r="C37" s="227"/>
      <c r="D37" s="267"/>
      <c r="E37" s="227"/>
      <c r="F37" s="227"/>
    </row>
    <row r="38" spans="1:8">
      <c r="D38" s="227"/>
      <c r="E38" s="278"/>
      <c r="F38" s="227"/>
    </row>
    <row r="39" spans="1:8" ht="18.75">
      <c r="A39" s="226">
        <v>1</v>
      </c>
      <c r="B39" s="227" t="s">
        <v>416</v>
      </c>
      <c r="C39" s="227"/>
      <c r="D39" s="227"/>
      <c r="E39" s="227"/>
      <c r="F39" s="227"/>
    </row>
    <row r="40" spans="1:8">
      <c r="B40" s="227" t="s">
        <v>417</v>
      </c>
      <c r="C40" s="287"/>
      <c r="D40" s="227"/>
      <c r="E40" s="227"/>
      <c r="F40" s="227"/>
    </row>
    <row r="41" spans="1:8" ht="18.75">
      <c r="A41" s="226">
        <v>2</v>
      </c>
      <c r="B41" s="1340" t="s">
        <v>1011</v>
      </c>
      <c r="C41" s="227"/>
      <c r="D41" s="227"/>
      <c r="E41" s="227"/>
      <c r="F41" s="227"/>
      <c r="H41" s="205"/>
    </row>
    <row r="42" spans="1:8">
      <c r="B42" s="1340"/>
      <c r="C42" s="227"/>
      <c r="D42" s="227"/>
      <c r="E42" s="227"/>
      <c r="F42" s="227"/>
      <c r="H42" s="205"/>
    </row>
    <row r="43" spans="1:8">
      <c r="A43" s="279"/>
      <c r="B43" s="582"/>
      <c r="C43" s="227"/>
      <c r="D43" s="170"/>
      <c r="H43" s="205"/>
    </row>
    <row r="44" spans="1:8">
      <c r="B44" s="347"/>
      <c r="H44" s="205"/>
    </row>
    <row r="45" spans="1:8">
      <c r="B45" s="582"/>
    </row>
    <row r="46" spans="1:8">
      <c r="A46" s="279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7F8D0-702E-479C-91B7-24EB0EF37AA6}">
  <sheetPr>
    <pageSetUpPr fitToPage="1"/>
  </sheetPr>
  <dimension ref="A2:I47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04" customWidth="1"/>
    <col min="2" max="2" width="35.140625" style="1605" customWidth="1"/>
    <col min="3" max="3" width="18.5703125" style="176" customWidth="1"/>
    <col min="4" max="4" width="25.140625" style="177" customWidth="1"/>
    <col min="5" max="5" width="18.5703125" style="1605" customWidth="1"/>
    <col min="6" max="6" width="62.5703125" style="1605" customWidth="1"/>
    <col min="7" max="7" width="5.140625" style="1604" customWidth="1"/>
    <col min="8" max="8" width="24" style="1605" customWidth="1"/>
    <col min="9" max="9" width="11" style="1605" customWidth="1"/>
    <col min="10" max="10" width="7.140625" style="1605" customWidth="1"/>
    <col min="11" max="11" width="9.140625" style="1605" customWidth="1"/>
    <col min="12" max="12" width="14" style="1605" customWidth="1"/>
    <col min="13" max="13" width="13.42578125" style="1605" customWidth="1"/>
    <col min="14" max="16384" width="9.140625" style="1605"/>
  </cols>
  <sheetData>
    <row r="2" spans="1:9">
      <c r="B2" s="1642" t="s">
        <v>17</v>
      </c>
      <c r="C2" s="1642"/>
      <c r="D2" s="1642"/>
      <c r="E2" s="1642"/>
      <c r="F2" s="1642"/>
    </row>
    <row r="3" spans="1:9">
      <c r="B3" s="1642" t="s">
        <v>18</v>
      </c>
      <c r="C3" s="1642"/>
      <c r="D3" s="1642"/>
      <c r="E3" s="1642"/>
      <c r="F3" s="1642"/>
    </row>
    <row r="4" spans="1:9">
      <c r="B4" s="1642" t="s">
        <v>19</v>
      </c>
      <c r="C4" s="1642"/>
      <c r="D4" s="1642"/>
      <c r="E4" s="1642"/>
      <c r="F4" s="1642"/>
    </row>
    <row r="5" spans="1:9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  <c r="F5" s="1642"/>
    </row>
    <row r="6" spans="1:9">
      <c r="B6" s="1647" t="s">
        <v>2</v>
      </c>
      <c r="C6" s="1647"/>
      <c r="D6" s="1647"/>
      <c r="E6" s="1647"/>
      <c r="F6" s="1647"/>
    </row>
    <row r="7" spans="1:9">
      <c r="B7" s="172"/>
      <c r="C7" s="173"/>
      <c r="D7" s="174"/>
      <c r="E7" s="172"/>
      <c r="F7" s="172"/>
    </row>
    <row r="8" spans="1:9">
      <c r="B8" s="1642" t="s">
        <v>57</v>
      </c>
      <c r="C8" s="1642"/>
      <c r="D8" s="1642"/>
      <c r="E8" s="1642"/>
      <c r="F8" s="1642"/>
    </row>
    <row r="10" spans="1:9">
      <c r="B10" s="1464"/>
      <c r="C10" s="1465" t="s">
        <v>30</v>
      </c>
      <c r="D10" s="1466"/>
      <c r="E10" s="1465"/>
      <c r="F10" s="1466"/>
    </row>
    <row r="11" spans="1:9">
      <c r="B11" s="182"/>
      <c r="C11" s="1604" t="s">
        <v>58</v>
      </c>
      <c r="D11" s="182"/>
      <c r="E11" s="185" t="s">
        <v>58</v>
      </c>
      <c r="F11" s="298"/>
    </row>
    <row r="12" spans="1:9">
      <c r="A12" s="1607" t="s">
        <v>3</v>
      </c>
      <c r="B12" s="189"/>
      <c r="C12" s="1604" t="s">
        <v>56</v>
      </c>
      <c r="D12" s="182"/>
      <c r="E12" s="190" t="s">
        <v>56</v>
      </c>
      <c r="F12" s="298"/>
      <c r="G12" s="1607" t="s">
        <v>3</v>
      </c>
    </row>
    <row r="13" spans="1:9" ht="18.75">
      <c r="A13" s="1607" t="s">
        <v>24</v>
      </c>
      <c r="B13" s="1467" t="s">
        <v>22</v>
      </c>
      <c r="C13" s="1468" t="s">
        <v>34</v>
      </c>
      <c r="D13" s="1467" t="s">
        <v>8</v>
      </c>
      <c r="E13" s="194" t="s">
        <v>1009</v>
      </c>
      <c r="F13" s="1467" t="s">
        <v>8</v>
      </c>
      <c r="G13" s="1607" t="s">
        <v>24</v>
      </c>
    </row>
    <row r="14" spans="1:9">
      <c r="A14" s="1607">
        <v>1</v>
      </c>
      <c r="B14" s="195" t="str">
        <f>"Dec-"&amp;RIGHT(Automation!$B$3-1,2)</f>
        <v>Dec-18</v>
      </c>
      <c r="C14" s="196">
        <v>0</v>
      </c>
      <c r="D14" s="1609" t="s">
        <v>415</v>
      </c>
      <c r="E14" s="198">
        <v>0</v>
      </c>
      <c r="F14" s="1609" t="s">
        <v>415</v>
      </c>
      <c r="G14" s="1607">
        <f>A14</f>
        <v>1</v>
      </c>
      <c r="I14" s="200"/>
    </row>
    <row r="15" spans="1:9">
      <c r="A15" s="1607">
        <f>A14+1</f>
        <v>2</v>
      </c>
      <c r="B15" s="195" t="str">
        <f>"Jan-"&amp;RIGHT(Automation!$B$3,2)</f>
        <v>Jan-19</v>
      </c>
      <c r="C15" s="201">
        <v>0</v>
      </c>
      <c r="D15" s="1610"/>
      <c r="E15" s="203">
        <v>0</v>
      </c>
      <c r="F15" s="1610"/>
      <c r="G15" s="1607">
        <f>G14+1</f>
        <v>2</v>
      </c>
    </row>
    <row r="16" spans="1:9">
      <c r="A16" s="1607">
        <f t="shared" ref="A16:A32" si="0">A15+1</f>
        <v>3</v>
      </c>
      <c r="B16" s="195" t="s">
        <v>35</v>
      </c>
      <c r="C16" s="201">
        <v>0</v>
      </c>
      <c r="D16" s="1610"/>
      <c r="E16" s="203">
        <v>0</v>
      </c>
      <c r="F16" s="1610"/>
      <c r="G16" s="1607">
        <f t="shared" ref="G16:G32" si="1">G15+1</f>
        <v>3</v>
      </c>
    </row>
    <row r="17" spans="1:9">
      <c r="A17" s="1607">
        <f t="shared" si="0"/>
        <v>4</v>
      </c>
      <c r="B17" s="195" t="s">
        <v>36</v>
      </c>
      <c r="C17" s="201">
        <v>0</v>
      </c>
      <c r="D17" s="1610"/>
      <c r="E17" s="203">
        <v>0</v>
      </c>
      <c r="F17" s="1610"/>
      <c r="G17" s="1607">
        <f t="shared" si="1"/>
        <v>4</v>
      </c>
    </row>
    <row r="18" spans="1:9">
      <c r="A18" s="1607">
        <f t="shared" si="0"/>
        <v>5</v>
      </c>
      <c r="B18" s="195" t="s">
        <v>37</v>
      </c>
      <c r="C18" s="201">
        <v>0</v>
      </c>
      <c r="D18" s="1610"/>
      <c r="E18" s="203">
        <v>0</v>
      </c>
      <c r="F18" s="1610"/>
      <c r="G18" s="1607">
        <f t="shared" si="1"/>
        <v>5</v>
      </c>
    </row>
    <row r="19" spans="1:9">
      <c r="A19" s="1607">
        <f t="shared" si="0"/>
        <v>6</v>
      </c>
      <c r="B19" s="195" t="s">
        <v>38</v>
      </c>
      <c r="C19" s="201">
        <v>0</v>
      </c>
      <c r="D19" s="1610"/>
      <c r="E19" s="203">
        <v>0</v>
      </c>
      <c r="F19" s="1610"/>
      <c r="G19" s="1607">
        <f t="shared" si="1"/>
        <v>6</v>
      </c>
    </row>
    <row r="20" spans="1:9">
      <c r="A20" s="1607">
        <f>A19+1</f>
        <v>7</v>
      </c>
      <c r="B20" s="195" t="s">
        <v>39</v>
      </c>
      <c r="C20" s="201">
        <v>0</v>
      </c>
      <c r="D20" s="1610"/>
      <c r="E20" s="203">
        <v>27000</v>
      </c>
      <c r="F20" s="1610"/>
      <c r="G20" s="1607">
        <f>G19+1</f>
        <v>7</v>
      </c>
    </row>
    <row r="21" spans="1:9">
      <c r="A21" s="1607">
        <f t="shared" si="0"/>
        <v>8</v>
      </c>
      <c r="B21" s="195" t="s">
        <v>40</v>
      </c>
      <c r="C21" s="201">
        <v>0</v>
      </c>
      <c r="D21" s="1610"/>
      <c r="E21" s="203">
        <v>27000</v>
      </c>
      <c r="F21" s="1610"/>
      <c r="G21" s="1607">
        <f t="shared" si="1"/>
        <v>8</v>
      </c>
    </row>
    <row r="22" spans="1:9">
      <c r="A22" s="1607">
        <f t="shared" si="0"/>
        <v>9</v>
      </c>
      <c r="B22" s="195" t="s">
        <v>41</v>
      </c>
      <c r="C22" s="201">
        <v>0</v>
      </c>
      <c r="D22" s="1610"/>
      <c r="E22" s="203">
        <v>27000</v>
      </c>
      <c r="F22" s="1610"/>
      <c r="G22" s="1607">
        <f t="shared" si="1"/>
        <v>9</v>
      </c>
    </row>
    <row r="23" spans="1:9">
      <c r="A23" s="1607">
        <f t="shared" si="0"/>
        <v>10</v>
      </c>
      <c r="B23" s="195" t="s">
        <v>42</v>
      </c>
      <c r="C23" s="201">
        <v>0</v>
      </c>
      <c r="D23" s="1610"/>
      <c r="E23" s="203">
        <v>27000</v>
      </c>
      <c r="F23" s="1610"/>
      <c r="G23" s="1607">
        <f t="shared" si="1"/>
        <v>10</v>
      </c>
    </row>
    <row r="24" spans="1:9">
      <c r="A24" s="1607">
        <f t="shared" si="0"/>
        <v>11</v>
      </c>
      <c r="B24" s="195" t="s">
        <v>43</v>
      </c>
      <c r="C24" s="201">
        <v>0</v>
      </c>
      <c r="D24" s="1610"/>
      <c r="E24" s="203">
        <v>27000</v>
      </c>
      <c r="F24" s="1610"/>
      <c r="G24" s="1607">
        <f t="shared" si="1"/>
        <v>11</v>
      </c>
    </row>
    <row r="25" spans="1:9">
      <c r="A25" s="1607">
        <f t="shared" si="0"/>
        <v>12</v>
      </c>
      <c r="B25" s="195" t="s">
        <v>44</v>
      </c>
      <c r="C25" s="201">
        <v>0</v>
      </c>
      <c r="D25" s="1610"/>
      <c r="E25" s="203">
        <v>27000</v>
      </c>
      <c r="F25" s="1610"/>
      <c r="G25" s="1607">
        <f t="shared" si="1"/>
        <v>12</v>
      </c>
    </row>
    <row r="26" spans="1:9">
      <c r="A26" s="1607">
        <f t="shared" si="0"/>
        <v>13</v>
      </c>
      <c r="B26" s="207" t="str">
        <f>"Dec-"&amp;RIGHT(Automation!$B$3,2)</f>
        <v>Dec-19</v>
      </c>
      <c r="C26" s="1611">
        <v>0</v>
      </c>
      <c r="D26" s="1612" t="s">
        <v>415</v>
      </c>
      <c r="E26" s="1613">
        <v>27000</v>
      </c>
      <c r="F26" s="275" t="str">
        <f>Automation!B3&amp;" Form 1; Page 213; Line 1; Col. e"</f>
        <v>2019 Form 1; Page 213; Line 1; Col. e</v>
      </c>
      <c r="G26" s="1607">
        <f t="shared" si="1"/>
        <v>13</v>
      </c>
      <c r="I26" s="200"/>
    </row>
    <row r="27" spans="1:9">
      <c r="A27" s="1607">
        <f t="shared" si="0"/>
        <v>14</v>
      </c>
      <c r="B27" s="209"/>
      <c r="C27" s="1614"/>
      <c r="D27" s="1464"/>
      <c r="E27" s="212"/>
      <c r="F27" s="1464"/>
      <c r="G27" s="1607">
        <f t="shared" si="1"/>
        <v>14</v>
      </c>
    </row>
    <row r="28" spans="1:9">
      <c r="A28" s="1607">
        <f t="shared" si="0"/>
        <v>15</v>
      </c>
      <c r="B28" s="209" t="s">
        <v>45</v>
      </c>
      <c r="C28" s="214">
        <f>SUM(C14:C26)</f>
        <v>0</v>
      </c>
      <c r="D28" s="275" t="str">
        <f>"Sum Lines "&amp;A14&amp;" thru "&amp;A26</f>
        <v>Sum Lines 1 thru 13</v>
      </c>
      <c r="E28" s="214">
        <f>SUM(E14:E26)</f>
        <v>189000</v>
      </c>
      <c r="F28" s="275" t="str">
        <f>"Sum Lines "&amp;A14&amp;" thru "&amp;A26</f>
        <v>Sum Lines 1 thru 13</v>
      </c>
      <c r="G28" s="1607">
        <f t="shared" si="1"/>
        <v>15</v>
      </c>
    </row>
    <row r="29" spans="1:9">
      <c r="A29" s="1607">
        <f t="shared" si="0"/>
        <v>16</v>
      </c>
      <c r="B29" s="1478"/>
      <c r="C29" s="217"/>
      <c r="D29" s="1478"/>
      <c r="E29" s="217"/>
      <c r="F29" s="1478"/>
      <c r="G29" s="1607">
        <f t="shared" si="1"/>
        <v>16</v>
      </c>
    </row>
    <row r="30" spans="1:9">
      <c r="A30" s="1607">
        <f t="shared" si="0"/>
        <v>17</v>
      </c>
      <c r="B30" s="209"/>
      <c r="C30" s="214"/>
      <c r="D30" s="209"/>
      <c r="E30" s="214"/>
      <c r="F30" s="209"/>
      <c r="G30" s="1607">
        <f t="shared" si="1"/>
        <v>17</v>
      </c>
    </row>
    <row r="31" spans="1:9">
      <c r="A31" s="1607">
        <f t="shared" si="0"/>
        <v>18</v>
      </c>
      <c r="B31" s="209" t="s">
        <v>46</v>
      </c>
      <c r="C31" s="214">
        <f>C28/13</f>
        <v>0</v>
      </c>
      <c r="D31" s="275" t="str">
        <f>"Average of Lines "&amp;A14&amp;" thru "&amp;A26</f>
        <v>Average of Lines 1 thru 13</v>
      </c>
      <c r="E31" s="214">
        <f>E28/13</f>
        <v>14538.461538461539</v>
      </c>
      <c r="F31" s="275" t="str">
        <f>"Average of Lines "&amp;A14&amp;" thru "&amp;A26</f>
        <v>Average of Lines 1 thru 13</v>
      </c>
      <c r="G31" s="1607">
        <f t="shared" si="1"/>
        <v>18</v>
      </c>
      <c r="H31" s="200"/>
      <c r="I31" s="200"/>
    </row>
    <row r="32" spans="1:9">
      <c r="A32" s="1607">
        <f t="shared" si="0"/>
        <v>19</v>
      </c>
      <c r="B32" s="1478"/>
      <c r="C32" s="222"/>
      <c r="D32" s="1478"/>
      <c r="E32" s="222"/>
      <c r="F32" s="1478"/>
      <c r="G32" s="1607">
        <f t="shared" si="1"/>
        <v>19</v>
      </c>
    </row>
    <row r="33" spans="1:5">
      <c r="A33" s="1607"/>
      <c r="C33" s="225"/>
      <c r="D33" s="1605"/>
      <c r="E33" s="225"/>
    </row>
    <row r="34" spans="1:5">
      <c r="C34" s="225"/>
      <c r="D34" s="1605"/>
      <c r="E34" s="225"/>
    </row>
    <row r="35" spans="1:5" ht="18.75">
      <c r="A35" s="226">
        <v>1</v>
      </c>
      <c r="B35" s="1606" t="s">
        <v>1010</v>
      </c>
      <c r="C35" s="225"/>
      <c r="D35" s="1605"/>
      <c r="E35" s="225"/>
    </row>
    <row r="36" spans="1:5">
      <c r="B36" s="1606"/>
      <c r="C36" s="225"/>
      <c r="D36" s="1605"/>
      <c r="E36" s="225"/>
    </row>
    <row r="37" spans="1:5">
      <c r="B37" s="1606"/>
      <c r="C37" s="225"/>
      <c r="D37" s="1605"/>
      <c r="E37" s="225"/>
    </row>
    <row r="38" spans="1:5">
      <c r="B38" s="1606"/>
      <c r="C38" s="225"/>
      <c r="D38" s="1605"/>
      <c r="E38" s="225"/>
    </row>
    <row r="39" spans="1:5">
      <c r="C39" s="228"/>
      <c r="E39" s="225"/>
    </row>
    <row r="40" spans="1:5">
      <c r="C40" s="228"/>
      <c r="E40" s="225"/>
    </row>
    <row r="41" spans="1:5">
      <c r="C41" s="228"/>
      <c r="E41" s="225"/>
    </row>
    <row r="42" spans="1:5">
      <c r="C42" s="228"/>
      <c r="E42" s="225"/>
    </row>
    <row r="43" spans="1:5">
      <c r="C43" s="228"/>
      <c r="E43" s="225"/>
    </row>
    <row r="44" spans="1:5">
      <c r="C44" s="228"/>
      <c r="E44" s="225"/>
    </row>
    <row r="45" spans="1:5">
      <c r="C45" s="228"/>
      <c r="E45" s="225"/>
    </row>
    <row r="46" spans="1:5">
      <c r="C46" s="228"/>
      <c r="E46" s="225"/>
    </row>
    <row r="47" spans="1:5">
      <c r="C47" s="228"/>
      <c r="E47" s="22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N170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919" customWidth="1"/>
    <col min="2" max="2" width="11.140625" style="187" customWidth="1"/>
    <col min="3" max="3" width="32.42578125" style="227" customWidth="1"/>
    <col min="4" max="10" width="18.5703125" style="332" customWidth="1"/>
    <col min="11" max="11" width="18.5703125" style="227" customWidth="1"/>
    <col min="12" max="12" width="24" style="227" customWidth="1"/>
    <col min="13" max="13" width="5.140625" style="919" customWidth="1"/>
    <col min="14" max="14" width="11.85546875" style="227" bestFit="1" customWidth="1"/>
    <col min="15" max="15" width="13.140625" style="227" customWidth="1"/>
    <col min="16" max="16384" width="9.140625" style="227"/>
  </cols>
  <sheetData>
    <row r="1" spans="1:13">
      <c r="C1" s="187"/>
    </row>
    <row r="2" spans="1:13" s="170" customFormat="1">
      <c r="A2" s="915"/>
      <c r="B2" s="1642" t="s">
        <v>17</v>
      </c>
      <c r="C2" s="1642"/>
      <c r="D2" s="1642"/>
      <c r="E2" s="1642"/>
      <c r="F2" s="1642"/>
      <c r="G2" s="1642"/>
      <c r="H2" s="1642"/>
      <c r="I2" s="1642"/>
      <c r="J2" s="1642"/>
      <c r="K2" s="1642"/>
      <c r="L2" s="1642"/>
      <c r="M2" s="915"/>
    </row>
    <row r="3" spans="1:13" s="170" customFormat="1">
      <c r="A3" s="915"/>
      <c r="B3" s="1642" t="s">
        <v>59</v>
      </c>
      <c r="C3" s="1642"/>
      <c r="D3" s="1642"/>
      <c r="E3" s="1642"/>
      <c r="F3" s="1642"/>
      <c r="G3" s="1642"/>
      <c r="H3" s="1642"/>
      <c r="I3" s="1642"/>
      <c r="J3" s="1642"/>
      <c r="K3" s="1642"/>
      <c r="L3" s="1642"/>
      <c r="M3" s="915"/>
    </row>
    <row r="4" spans="1:13">
      <c r="B4" s="1642" t="s">
        <v>60</v>
      </c>
      <c r="C4" s="1642"/>
      <c r="D4" s="1642"/>
      <c r="E4" s="1642"/>
      <c r="F4" s="1642"/>
      <c r="G4" s="1642"/>
      <c r="H4" s="1642"/>
      <c r="I4" s="1642"/>
      <c r="J4" s="1642"/>
      <c r="K4" s="1642"/>
      <c r="L4" s="1642"/>
    </row>
    <row r="5" spans="1:13">
      <c r="B5" s="1647" t="str">
        <f>"BALANCES AS OF 12/31/"&amp;Automation!$B$3-1</f>
        <v>BALANCES AS OF 12/31/2018</v>
      </c>
      <c r="C5" s="1647"/>
      <c r="D5" s="1647"/>
      <c r="E5" s="1647"/>
      <c r="F5" s="1647"/>
      <c r="G5" s="1647"/>
      <c r="H5" s="1647"/>
      <c r="I5" s="1647"/>
      <c r="J5" s="1647"/>
      <c r="K5" s="1647"/>
      <c r="L5" s="1647"/>
    </row>
    <row r="6" spans="1:13">
      <c r="B6" s="1647" t="s">
        <v>2</v>
      </c>
      <c r="C6" s="1642"/>
      <c r="D6" s="1642"/>
      <c r="E6" s="1642"/>
      <c r="F6" s="1642"/>
      <c r="G6" s="1642"/>
      <c r="H6" s="1642"/>
      <c r="I6" s="1642"/>
      <c r="J6" s="1642"/>
      <c r="K6" s="1642"/>
      <c r="L6" s="1642"/>
    </row>
    <row r="7" spans="1:13">
      <c r="C7" s="172"/>
      <c r="D7" s="173"/>
      <c r="E7" s="293"/>
      <c r="F7" s="293"/>
      <c r="G7" s="293"/>
      <c r="H7" s="293"/>
      <c r="I7" s="293"/>
      <c r="J7" s="293"/>
    </row>
    <row r="8" spans="1:13" s="169" customFormat="1">
      <c r="A8" s="915"/>
      <c r="B8" s="245"/>
      <c r="C8" s="294"/>
      <c r="D8" s="295" t="s">
        <v>28</v>
      </c>
      <c r="E8" s="296" t="s">
        <v>29</v>
      </c>
      <c r="F8" s="296" t="s">
        <v>61</v>
      </c>
      <c r="G8" s="296" t="s">
        <v>62</v>
      </c>
      <c r="H8" s="296" t="s">
        <v>63</v>
      </c>
      <c r="I8" s="296" t="s">
        <v>64</v>
      </c>
      <c r="J8" s="296" t="s">
        <v>65</v>
      </c>
      <c r="K8" s="296" t="s">
        <v>66</v>
      </c>
      <c r="L8" s="245"/>
      <c r="M8" s="915" t="s">
        <v>9</v>
      </c>
    </row>
    <row r="9" spans="1:13">
      <c r="B9" s="297"/>
      <c r="C9" s="298"/>
      <c r="D9" s="299"/>
      <c r="E9" s="300"/>
      <c r="F9" s="300"/>
      <c r="G9" s="300"/>
      <c r="H9" s="300"/>
      <c r="I9" s="300"/>
      <c r="J9" s="300"/>
      <c r="K9" s="301" t="s">
        <v>30</v>
      </c>
      <c r="L9" s="297"/>
      <c r="M9" s="919" t="s">
        <v>9</v>
      </c>
    </row>
    <row r="10" spans="1:13">
      <c r="B10" s="302"/>
      <c r="C10" s="303"/>
      <c r="D10" s="299"/>
      <c r="E10" s="300" t="s">
        <v>67</v>
      </c>
      <c r="F10" s="300" t="s">
        <v>55</v>
      </c>
      <c r="G10" s="300" t="s">
        <v>58</v>
      </c>
      <c r="H10" s="300" t="s">
        <v>58</v>
      </c>
      <c r="I10" s="300" t="s">
        <v>58</v>
      </c>
      <c r="J10" s="300" t="s">
        <v>58</v>
      </c>
      <c r="K10" s="300" t="s">
        <v>58</v>
      </c>
      <c r="L10" s="275"/>
      <c r="M10" s="919" t="s">
        <v>9</v>
      </c>
    </row>
    <row r="11" spans="1:13">
      <c r="B11" s="304"/>
      <c r="C11" s="209"/>
      <c r="D11" s="305" t="s">
        <v>30</v>
      </c>
      <c r="E11" s="300" t="s">
        <v>68</v>
      </c>
      <c r="F11" s="300" t="s">
        <v>68</v>
      </c>
      <c r="G11" s="300" t="s">
        <v>68</v>
      </c>
      <c r="H11" s="300" t="s">
        <v>68</v>
      </c>
      <c r="I11" s="300" t="s">
        <v>68</v>
      </c>
      <c r="J11" s="300" t="s">
        <v>68</v>
      </c>
      <c r="K11" s="300" t="s">
        <v>56</v>
      </c>
      <c r="L11" s="182"/>
    </row>
    <row r="12" spans="1:13">
      <c r="A12" s="919" t="s">
        <v>3</v>
      </c>
      <c r="B12" s="304"/>
      <c r="C12" s="182"/>
      <c r="D12" s="305" t="s">
        <v>58</v>
      </c>
      <c r="E12" s="300" t="s">
        <v>69</v>
      </c>
      <c r="F12" s="306" t="s">
        <v>69</v>
      </c>
      <c r="G12" s="300" t="s">
        <v>69</v>
      </c>
      <c r="H12" s="300" t="s">
        <v>69</v>
      </c>
      <c r="I12" s="300" t="s">
        <v>69</v>
      </c>
      <c r="J12" s="300" t="s">
        <v>69</v>
      </c>
      <c r="K12" s="300" t="s">
        <v>49</v>
      </c>
      <c r="L12" s="182"/>
      <c r="M12" s="919" t="s">
        <v>3</v>
      </c>
    </row>
    <row r="13" spans="1:13">
      <c r="A13" s="919" t="s">
        <v>24</v>
      </c>
      <c r="B13" s="191" t="s">
        <v>70</v>
      </c>
      <c r="C13" s="191" t="s">
        <v>71</v>
      </c>
      <c r="D13" s="307" t="s">
        <v>68</v>
      </c>
      <c r="E13" s="308" t="s">
        <v>72</v>
      </c>
      <c r="F13" s="308" t="s">
        <v>73</v>
      </c>
      <c r="G13" s="308" t="s">
        <v>74</v>
      </c>
      <c r="H13" s="308" t="s">
        <v>75</v>
      </c>
      <c r="I13" s="308" t="s">
        <v>48</v>
      </c>
      <c r="J13" s="309" t="s">
        <v>76</v>
      </c>
      <c r="K13" s="191" t="s">
        <v>77</v>
      </c>
      <c r="L13" s="191" t="s">
        <v>8</v>
      </c>
      <c r="M13" s="919" t="s">
        <v>24</v>
      </c>
    </row>
    <row r="14" spans="1:13">
      <c r="B14" s="275"/>
      <c r="C14" s="303" t="s">
        <v>78</v>
      </c>
      <c r="D14" s="310"/>
      <c r="E14" s="303"/>
      <c r="F14" s="303"/>
      <c r="G14" s="303"/>
      <c r="H14" s="303"/>
      <c r="I14" s="303"/>
      <c r="J14" s="303"/>
      <c r="K14" s="311"/>
      <c r="L14" s="275"/>
    </row>
    <row r="15" spans="1:13">
      <c r="A15" s="919">
        <v>1</v>
      </c>
      <c r="B15" s="343">
        <v>303</v>
      </c>
      <c r="C15" s="94" t="s">
        <v>79</v>
      </c>
      <c r="D15" s="314">
        <v>0</v>
      </c>
      <c r="E15" s="314">
        <v>0</v>
      </c>
      <c r="F15" s="315">
        <v>0</v>
      </c>
      <c r="G15" s="315">
        <v>0</v>
      </c>
      <c r="H15" s="315">
        <v>0</v>
      </c>
      <c r="I15" s="315">
        <v>0</v>
      </c>
      <c r="J15" s="315">
        <v>0</v>
      </c>
      <c r="K15" s="233">
        <f>SUM(D15:J15)</f>
        <v>0</v>
      </c>
      <c r="L15" s="275" t="s">
        <v>415</v>
      </c>
      <c r="M15" s="919">
        <f>A15</f>
        <v>1</v>
      </c>
    </row>
    <row r="16" spans="1:13">
      <c r="A16" s="919">
        <f>A15+1</f>
        <v>2</v>
      </c>
      <c r="B16" s="344">
        <v>310.10000000000002</v>
      </c>
      <c r="C16" s="94" t="s">
        <v>80</v>
      </c>
      <c r="D16" s="316">
        <v>0</v>
      </c>
      <c r="E16" s="316">
        <v>0</v>
      </c>
      <c r="F16" s="317">
        <v>0</v>
      </c>
      <c r="G16" s="317">
        <v>0</v>
      </c>
      <c r="H16" s="317">
        <v>0</v>
      </c>
      <c r="I16" s="317">
        <v>0</v>
      </c>
      <c r="J16" s="317">
        <v>0</v>
      </c>
      <c r="K16" s="234">
        <f>SUM(D16:J16)</f>
        <v>0</v>
      </c>
      <c r="L16" s="275" t="s">
        <v>415</v>
      </c>
      <c r="M16" s="919">
        <f>M15+1</f>
        <v>2</v>
      </c>
    </row>
    <row r="17" spans="1:13">
      <c r="A17" s="919">
        <f t="shared" ref="A17:A35" si="0">A16+1</f>
        <v>3</v>
      </c>
      <c r="B17" s="343">
        <v>340</v>
      </c>
      <c r="C17" s="345" t="s">
        <v>81</v>
      </c>
      <c r="D17" s="316">
        <v>0</v>
      </c>
      <c r="E17" s="316">
        <v>4.56576</v>
      </c>
      <c r="F17" s="317">
        <v>0</v>
      </c>
      <c r="G17" s="317">
        <v>0</v>
      </c>
      <c r="H17" s="317">
        <v>0</v>
      </c>
      <c r="I17" s="317">
        <v>0</v>
      </c>
      <c r="J17" s="317">
        <v>0</v>
      </c>
      <c r="K17" s="318">
        <f>SUM(D17:J17)</f>
        <v>4.56576</v>
      </c>
      <c r="L17" s="275" t="s">
        <v>415</v>
      </c>
      <c r="M17" s="919">
        <f t="shared" ref="M17:M35" si="1">M16+1</f>
        <v>3</v>
      </c>
    </row>
    <row r="18" spans="1:13">
      <c r="A18" s="919">
        <f t="shared" si="0"/>
        <v>4</v>
      </c>
      <c r="B18" s="343">
        <v>360</v>
      </c>
      <c r="C18" s="345" t="s">
        <v>81</v>
      </c>
      <c r="D18" s="316">
        <v>0</v>
      </c>
      <c r="E18" s="316">
        <v>0</v>
      </c>
      <c r="F18" s="317">
        <v>3634.0221999999999</v>
      </c>
      <c r="G18" s="317">
        <v>0</v>
      </c>
      <c r="H18" s="317">
        <v>0</v>
      </c>
      <c r="I18" s="317">
        <v>0</v>
      </c>
      <c r="J18" s="317">
        <v>0</v>
      </c>
      <c r="K18" s="318">
        <f>SUM(D18:J18)</f>
        <v>3634.0221999999999</v>
      </c>
      <c r="L18" s="275" t="s">
        <v>415</v>
      </c>
      <c r="M18" s="919">
        <f t="shared" si="1"/>
        <v>4</v>
      </c>
    </row>
    <row r="19" spans="1:13">
      <c r="A19" s="919">
        <f t="shared" si="0"/>
        <v>5</v>
      </c>
      <c r="B19" s="343">
        <v>361</v>
      </c>
      <c r="C19" s="94" t="s">
        <v>82</v>
      </c>
      <c r="D19" s="316">
        <v>0</v>
      </c>
      <c r="E19" s="316">
        <v>0</v>
      </c>
      <c r="F19" s="317">
        <v>1039.44714</v>
      </c>
      <c r="G19" s="317">
        <v>0</v>
      </c>
      <c r="H19" s="317">
        <v>0</v>
      </c>
      <c r="I19" s="317">
        <v>0</v>
      </c>
      <c r="J19" s="317">
        <v>0</v>
      </c>
      <c r="K19" s="318">
        <f>SUM(D19:J19)</f>
        <v>1039.44714</v>
      </c>
      <c r="L19" s="275" t="s">
        <v>415</v>
      </c>
      <c r="M19" s="919">
        <f t="shared" si="1"/>
        <v>5</v>
      </c>
    </row>
    <row r="20" spans="1:13">
      <c r="A20" s="919">
        <f t="shared" si="0"/>
        <v>6</v>
      </c>
      <c r="B20" s="275"/>
      <c r="C20" s="303"/>
      <c r="D20" s="310"/>
      <c r="E20" s="303"/>
      <c r="F20" s="303"/>
      <c r="G20" s="303"/>
      <c r="H20" s="303"/>
      <c r="I20" s="303"/>
      <c r="J20" s="303"/>
      <c r="K20" s="311"/>
      <c r="L20" s="275"/>
      <c r="M20" s="919">
        <f t="shared" si="1"/>
        <v>6</v>
      </c>
    </row>
    <row r="21" spans="1:13" s="170" customFormat="1">
      <c r="A21" s="919">
        <f t="shared" si="0"/>
        <v>7</v>
      </c>
      <c r="B21" s="319" t="s">
        <v>83</v>
      </c>
      <c r="C21" s="320" t="s">
        <v>84</v>
      </c>
      <c r="D21" s="321">
        <f>SUM(D15:D20)</f>
        <v>0</v>
      </c>
      <c r="E21" s="321">
        <f t="shared" ref="E21:I21" si="2">SUM(E15:E20)</f>
        <v>4.56576</v>
      </c>
      <c r="F21" s="321">
        <f t="shared" si="2"/>
        <v>4673.4693399999996</v>
      </c>
      <c r="G21" s="321">
        <f t="shared" si="2"/>
        <v>0</v>
      </c>
      <c r="H21" s="321">
        <f t="shared" si="2"/>
        <v>0</v>
      </c>
      <c r="I21" s="321">
        <f t="shared" si="2"/>
        <v>0</v>
      </c>
      <c r="J21" s="321">
        <f>SUM(J15:J20)</f>
        <v>0</v>
      </c>
      <c r="K21" s="322">
        <f>SUM(K15:K20)</f>
        <v>4678.0351000000001</v>
      </c>
      <c r="L21" s="323" t="str">
        <f>"Sum Lines "&amp;A15&amp;" thru "&amp;A19</f>
        <v>Sum Lines 1 thru 5</v>
      </c>
      <c r="M21" s="919">
        <f t="shared" si="1"/>
        <v>7</v>
      </c>
    </row>
    <row r="22" spans="1:13">
      <c r="A22" s="919">
        <f t="shared" si="0"/>
        <v>8</v>
      </c>
      <c r="B22" s="275"/>
      <c r="C22" s="303"/>
      <c r="D22" s="324"/>
      <c r="E22" s="325"/>
      <c r="F22" s="325"/>
      <c r="G22" s="325"/>
      <c r="H22" s="325"/>
      <c r="I22" s="325"/>
      <c r="J22" s="325"/>
      <c r="K22" s="311"/>
      <c r="L22" s="275"/>
      <c r="M22" s="919">
        <f t="shared" si="1"/>
        <v>8</v>
      </c>
    </row>
    <row r="23" spans="1:13">
      <c r="A23" s="919">
        <f t="shared" si="0"/>
        <v>9</v>
      </c>
      <c r="B23" s="343">
        <v>350</v>
      </c>
      <c r="C23" s="94" t="s">
        <v>81</v>
      </c>
      <c r="D23" s="327">
        <v>239239.70962000001</v>
      </c>
      <c r="E23" s="314">
        <v>0</v>
      </c>
      <c r="F23" s="315">
        <v>0</v>
      </c>
      <c r="G23" s="314">
        <v>0</v>
      </c>
      <c r="H23" s="314">
        <v>0</v>
      </c>
      <c r="I23" s="314">
        <v>0</v>
      </c>
      <c r="J23" s="314">
        <v>-13099.815749999998</v>
      </c>
      <c r="K23" s="328">
        <f t="shared" ref="K23:K31" si="3">SUM(D23:J23)</f>
        <v>226139.89387</v>
      </c>
      <c r="L23" s="275" t="s">
        <v>415</v>
      </c>
      <c r="M23" s="919">
        <f t="shared" si="1"/>
        <v>9</v>
      </c>
    </row>
    <row r="24" spans="1:13">
      <c r="A24" s="919">
        <f t="shared" si="0"/>
        <v>10</v>
      </c>
      <c r="B24" s="343">
        <v>352</v>
      </c>
      <c r="C24" s="94" t="s">
        <v>82</v>
      </c>
      <c r="D24" s="329">
        <v>599716.71719000011</v>
      </c>
      <c r="E24" s="317">
        <v>0</v>
      </c>
      <c r="F24" s="317">
        <v>0</v>
      </c>
      <c r="G24" s="324">
        <v>-1928.27782</v>
      </c>
      <c r="H24" s="317">
        <v>0</v>
      </c>
      <c r="I24" s="317">
        <v>0</v>
      </c>
      <c r="J24" s="325">
        <v>-53599.29146</v>
      </c>
      <c r="K24" s="330">
        <f t="shared" si="3"/>
        <v>544189.14791000017</v>
      </c>
      <c r="L24" s="275" t="s">
        <v>415</v>
      </c>
      <c r="M24" s="919">
        <f t="shared" si="1"/>
        <v>10</v>
      </c>
    </row>
    <row r="25" spans="1:13">
      <c r="A25" s="919">
        <f t="shared" si="0"/>
        <v>11</v>
      </c>
      <c r="B25" s="343">
        <v>353</v>
      </c>
      <c r="C25" s="94" t="s">
        <v>85</v>
      </c>
      <c r="D25" s="329">
        <v>1817621.7904400001</v>
      </c>
      <c r="E25" s="317">
        <v>0</v>
      </c>
      <c r="F25" s="317">
        <v>0</v>
      </c>
      <c r="G25" s="324">
        <v>-11170.520630000001</v>
      </c>
      <c r="H25" s="317">
        <v>-1420.3928799999999</v>
      </c>
      <c r="I25" s="317">
        <v>0</v>
      </c>
      <c r="J25" s="325">
        <v>-2427.1273099999999</v>
      </c>
      <c r="K25" s="330">
        <f t="shared" si="3"/>
        <v>1802603.7496200004</v>
      </c>
      <c r="L25" s="275" t="s">
        <v>415</v>
      </c>
      <c r="M25" s="919">
        <f t="shared" si="1"/>
        <v>11</v>
      </c>
    </row>
    <row r="26" spans="1:13">
      <c r="A26" s="919">
        <f t="shared" si="0"/>
        <v>12</v>
      </c>
      <c r="B26" s="343">
        <v>354</v>
      </c>
      <c r="C26" s="94" t="s">
        <v>86</v>
      </c>
      <c r="D26" s="329">
        <v>901633.07666999998</v>
      </c>
      <c r="E26" s="317">
        <v>0</v>
      </c>
      <c r="F26" s="317">
        <v>0</v>
      </c>
      <c r="G26" s="324">
        <v>0</v>
      </c>
      <c r="H26" s="317">
        <v>0</v>
      </c>
      <c r="I26" s="317">
        <v>0</v>
      </c>
      <c r="J26" s="325">
        <v>0</v>
      </c>
      <c r="K26" s="330">
        <f t="shared" si="3"/>
        <v>901633.07666999998</v>
      </c>
      <c r="L26" s="275" t="s">
        <v>415</v>
      </c>
      <c r="M26" s="919">
        <f t="shared" si="1"/>
        <v>12</v>
      </c>
    </row>
    <row r="27" spans="1:13">
      <c r="A27" s="919">
        <f t="shared" si="0"/>
        <v>13</v>
      </c>
      <c r="B27" s="343">
        <v>355</v>
      </c>
      <c r="C27" s="94" t="s">
        <v>87</v>
      </c>
      <c r="D27" s="329">
        <v>611303.68851999997</v>
      </c>
      <c r="E27" s="317">
        <v>0</v>
      </c>
      <c r="F27" s="317">
        <v>0</v>
      </c>
      <c r="G27" s="324">
        <v>0</v>
      </c>
      <c r="H27" s="317">
        <v>0</v>
      </c>
      <c r="I27" s="317">
        <v>0</v>
      </c>
      <c r="J27" s="325">
        <v>0</v>
      </c>
      <c r="K27" s="330">
        <f t="shared" si="3"/>
        <v>611303.68851999997</v>
      </c>
      <c r="L27" s="275" t="s">
        <v>415</v>
      </c>
      <c r="M27" s="919">
        <f t="shared" si="1"/>
        <v>13</v>
      </c>
    </row>
    <row r="28" spans="1:13">
      <c r="A28" s="919">
        <f t="shared" si="0"/>
        <v>14</v>
      </c>
      <c r="B28" s="343">
        <v>356</v>
      </c>
      <c r="C28" s="94" t="s">
        <v>88</v>
      </c>
      <c r="D28" s="329">
        <v>661523.01428</v>
      </c>
      <c r="E28" s="317">
        <v>0</v>
      </c>
      <c r="F28" s="317">
        <v>0</v>
      </c>
      <c r="G28" s="324">
        <v>0</v>
      </c>
      <c r="H28" s="317">
        <v>0</v>
      </c>
      <c r="I28" s="317">
        <v>0</v>
      </c>
      <c r="J28" s="325">
        <v>0</v>
      </c>
      <c r="K28" s="330">
        <f t="shared" si="3"/>
        <v>661523.01428</v>
      </c>
      <c r="L28" s="275" t="s">
        <v>415</v>
      </c>
      <c r="M28" s="919">
        <f t="shared" si="1"/>
        <v>14</v>
      </c>
    </row>
    <row r="29" spans="1:13">
      <c r="A29" s="919">
        <f t="shared" si="0"/>
        <v>15</v>
      </c>
      <c r="B29" s="343">
        <v>357</v>
      </c>
      <c r="C29" s="94" t="s">
        <v>89</v>
      </c>
      <c r="D29" s="329">
        <v>459481.88441</v>
      </c>
      <c r="E29" s="317">
        <v>0</v>
      </c>
      <c r="F29" s="317">
        <v>0</v>
      </c>
      <c r="G29" s="324">
        <v>0</v>
      </c>
      <c r="H29" s="317">
        <v>0</v>
      </c>
      <c r="I29" s="317">
        <v>0</v>
      </c>
      <c r="J29" s="325">
        <v>0</v>
      </c>
      <c r="K29" s="330">
        <f t="shared" si="3"/>
        <v>459481.88441</v>
      </c>
      <c r="L29" s="275" t="s">
        <v>415</v>
      </c>
      <c r="M29" s="919">
        <f t="shared" si="1"/>
        <v>15</v>
      </c>
    </row>
    <row r="30" spans="1:13">
      <c r="A30" s="919">
        <f t="shared" si="0"/>
        <v>16</v>
      </c>
      <c r="B30" s="343">
        <v>358</v>
      </c>
      <c r="C30" s="94" t="s">
        <v>90</v>
      </c>
      <c r="D30" s="329">
        <v>520562.55894999998</v>
      </c>
      <c r="E30" s="317">
        <v>0</v>
      </c>
      <c r="F30" s="317">
        <v>0</v>
      </c>
      <c r="G30" s="324">
        <v>-1726.37997</v>
      </c>
      <c r="H30" s="317">
        <v>0</v>
      </c>
      <c r="I30" s="317">
        <v>0</v>
      </c>
      <c r="J30" s="325">
        <v>0</v>
      </c>
      <c r="K30" s="330">
        <f t="shared" si="3"/>
        <v>518836.17897999997</v>
      </c>
      <c r="L30" s="275" t="s">
        <v>415</v>
      </c>
      <c r="M30" s="919">
        <f t="shared" si="1"/>
        <v>16</v>
      </c>
    </row>
    <row r="31" spans="1:13">
      <c r="A31" s="919">
        <f t="shared" si="0"/>
        <v>17</v>
      </c>
      <c r="B31" s="343">
        <v>359</v>
      </c>
      <c r="C31" s="94" t="s">
        <v>91</v>
      </c>
      <c r="D31" s="329">
        <v>320923.16362000001</v>
      </c>
      <c r="E31" s="317">
        <v>0</v>
      </c>
      <c r="F31" s="317">
        <v>0</v>
      </c>
      <c r="G31" s="324">
        <v>0</v>
      </c>
      <c r="H31" s="317">
        <v>0</v>
      </c>
      <c r="I31" s="317">
        <v>0</v>
      </c>
      <c r="J31" s="325">
        <v>0</v>
      </c>
      <c r="K31" s="330">
        <f t="shared" si="3"/>
        <v>320923.16362000001</v>
      </c>
      <c r="L31" s="275" t="s">
        <v>415</v>
      </c>
      <c r="M31" s="919">
        <f t="shared" si="1"/>
        <v>17</v>
      </c>
    </row>
    <row r="32" spans="1:13">
      <c r="A32" s="919">
        <f t="shared" si="0"/>
        <v>18</v>
      </c>
      <c r="B32" s="312"/>
      <c r="C32" s="303"/>
      <c r="D32" s="324"/>
      <c r="F32" s="333"/>
      <c r="G32" s="333"/>
      <c r="H32" s="333"/>
      <c r="I32" s="333"/>
      <c r="J32" s="325"/>
      <c r="K32" s="334"/>
      <c r="L32" s="312"/>
      <c r="M32" s="919">
        <f t="shared" si="1"/>
        <v>18</v>
      </c>
    </row>
    <row r="33" spans="1:14">
      <c r="A33" s="919">
        <f t="shared" si="0"/>
        <v>19</v>
      </c>
      <c r="B33" s="335" t="s">
        <v>83</v>
      </c>
      <c r="C33" s="320" t="s">
        <v>57</v>
      </c>
      <c r="D33" s="321">
        <f>SUM(D23:D32)</f>
        <v>6132005.6036999999</v>
      </c>
      <c r="E33" s="321">
        <f t="shared" ref="E33:I33" si="4">SUM(E23:E32)</f>
        <v>0</v>
      </c>
      <c r="F33" s="321">
        <f t="shared" si="4"/>
        <v>0</v>
      </c>
      <c r="G33" s="321">
        <f t="shared" si="4"/>
        <v>-14825.17842</v>
      </c>
      <c r="H33" s="321">
        <f t="shared" si="4"/>
        <v>-1420.3928799999999</v>
      </c>
      <c r="I33" s="321">
        <f t="shared" si="4"/>
        <v>0</v>
      </c>
      <c r="J33" s="321">
        <f>SUM(J23:J32)</f>
        <v>-69126.234519999998</v>
      </c>
      <c r="K33" s="322">
        <f>SUM(K23:K32)</f>
        <v>6046633.7978800004</v>
      </c>
      <c r="L33" s="336" t="str">
        <f>"Sum Lines "&amp;A23&amp;" thru "&amp;A31</f>
        <v>Sum Lines 9 thru 17</v>
      </c>
      <c r="M33" s="919">
        <f t="shared" si="1"/>
        <v>19</v>
      </c>
      <c r="N33" s="347"/>
    </row>
    <row r="34" spans="1:14">
      <c r="A34" s="919">
        <f t="shared" si="0"/>
        <v>20</v>
      </c>
      <c r="B34" s="302"/>
      <c r="D34" s="337"/>
      <c r="J34" s="326"/>
      <c r="K34" s="331"/>
      <c r="L34" s="338"/>
      <c r="M34" s="919">
        <f t="shared" si="1"/>
        <v>20</v>
      </c>
    </row>
    <row r="35" spans="1:14">
      <c r="A35" s="919">
        <f t="shared" si="0"/>
        <v>21</v>
      </c>
      <c r="B35" s="339" t="s">
        <v>92</v>
      </c>
      <c r="C35" s="340"/>
      <c r="D35" s="341">
        <f>D33+D21</f>
        <v>6132005.6036999999</v>
      </c>
      <c r="E35" s="341">
        <f t="shared" ref="E35:I35" si="5">E33+E21</f>
        <v>4.56576</v>
      </c>
      <c r="F35" s="341">
        <f t="shared" si="5"/>
        <v>4673.4693399999996</v>
      </c>
      <c r="G35" s="341">
        <f>G33+G21</f>
        <v>-14825.17842</v>
      </c>
      <c r="H35" s="341">
        <f>H33+H21</f>
        <v>-1420.3928799999999</v>
      </c>
      <c r="I35" s="342">
        <f t="shared" si="5"/>
        <v>0</v>
      </c>
      <c r="J35" s="341">
        <f>J33+J21</f>
        <v>-69126.234519999998</v>
      </c>
      <c r="K35" s="861">
        <f>K33+K21</f>
        <v>6051311.8329800004</v>
      </c>
      <c r="L35" s="323" t="str">
        <f>"Line "&amp;A21&amp;" + Line "&amp;A33</f>
        <v>Line 7 + Line 19</v>
      </c>
      <c r="M35" s="919">
        <f t="shared" si="1"/>
        <v>21</v>
      </c>
    </row>
    <row r="36" spans="1:14">
      <c r="D36" s="227"/>
    </row>
    <row r="37" spans="1:14">
      <c r="D37" s="227"/>
    </row>
    <row r="38" spans="1:14">
      <c r="B38" s="160" t="s">
        <v>580</v>
      </c>
      <c r="D38" s="227"/>
    </row>
    <row r="39" spans="1:14">
      <c r="D39" s="227"/>
      <c r="K39" s="240"/>
      <c r="L39" s="240"/>
    </row>
    <row r="40" spans="1:14">
      <c r="D40" s="227"/>
    </row>
    <row r="41" spans="1:14">
      <c r="D41" s="227"/>
    </row>
    <row r="42" spans="1:14">
      <c r="D42" s="227"/>
    </row>
    <row r="43" spans="1:14">
      <c r="D43" s="227"/>
    </row>
    <row r="44" spans="1:14">
      <c r="D44" s="227"/>
    </row>
    <row r="45" spans="1:14">
      <c r="D45" s="227"/>
    </row>
    <row r="46" spans="1:14">
      <c r="D46" s="227"/>
    </row>
    <row r="47" spans="1:14">
      <c r="D47" s="227"/>
    </row>
    <row r="48" spans="1:14">
      <c r="D48" s="227"/>
    </row>
    <row r="49" spans="4:4">
      <c r="D49" s="227"/>
    </row>
    <row r="50" spans="4:4">
      <c r="D50" s="227"/>
    </row>
    <row r="51" spans="4:4">
      <c r="D51" s="227"/>
    </row>
    <row r="52" spans="4:4">
      <c r="D52" s="227"/>
    </row>
    <row r="53" spans="4:4">
      <c r="D53" s="227"/>
    </row>
    <row r="54" spans="4:4">
      <c r="D54" s="227"/>
    </row>
    <row r="55" spans="4:4">
      <c r="D55" s="227"/>
    </row>
    <row r="56" spans="4:4">
      <c r="D56" s="227"/>
    </row>
    <row r="57" spans="4:4">
      <c r="D57" s="227"/>
    </row>
    <row r="58" spans="4:4">
      <c r="D58" s="227"/>
    </row>
    <row r="59" spans="4:4">
      <c r="D59" s="227"/>
    </row>
    <row r="60" spans="4:4">
      <c r="D60" s="227"/>
    </row>
    <row r="61" spans="4:4">
      <c r="D61" s="227"/>
    </row>
    <row r="62" spans="4:4">
      <c r="D62" s="227"/>
    </row>
    <row r="63" spans="4:4">
      <c r="D63" s="227"/>
    </row>
    <row r="64" spans="4:4">
      <c r="D64" s="227"/>
    </row>
    <row r="65" spans="4:4">
      <c r="D65" s="227"/>
    </row>
    <row r="66" spans="4:4">
      <c r="D66" s="227"/>
    </row>
    <row r="67" spans="4:4">
      <c r="D67" s="227"/>
    </row>
    <row r="68" spans="4:4">
      <c r="D68" s="227"/>
    </row>
    <row r="69" spans="4:4">
      <c r="D69" s="227"/>
    </row>
    <row r="70" spans="4:4">
      <c r="D70" s="227"/>
    </row>
    <row r="71" spans="4:4">
      <c r="D71" s="227"/>
    </row>
    <row r="72" spans="4:4">
      <c r="D72" s="227"/>
    </row>
    <row r="73" spans="4:4">
      <c r="D73" s="227"/>
    </row>
    <row r="74" spans="4:4">
      <c r="D74" s="227"/>
    </row>
    <row r="75" spans="4:4">
      <c r="D75" s="227"/>
    </row>
    <row r="76" spans="4:4">
      <c r="D76" s="227"/>
    </row>
    <row r="77" spans="4:4">
      <c r="D77" s="227"/>
    </row>
    <row r="78" spans="4:4">
      <c r="D78" s="227"/>
    </row>
    <row r="79" spans="4:4">
      <c r="D79" s="227"/>
    </row>
    <row r="80" spans="4:4">
      <c r="D80" s="227"/>
    </row>
    <row r="81" spans="4:4">
      <c r="D81" s="227"/>
    </row>
    <row r="82" spans="4:4">
      <c r="D82" s="227"/>
    </row>
    <row r="83" spans="4:4">
      <c r="D83" s="227"/>
    </row>
    <row r="84" spans="4:4">
      <c r="D84" s="227"/>
    </row>
    <row r="85" spans="4:4">
      <c r="D85" s="227"/>
    </row>
    <row r="86" spans="4:4">
      <c r="D86" s="227"/>
    </row>
    <row r="87" spans="4:4">
      <c r="D87" s="227"/>
    </row>
    <row r="88" spans="4:4">
      <c r="D88" s="227"/>
    </row>
    <row r="89" spans="4:4">
      <c r="D89" s="227"/>
    </row>
    <row r="90" spans="4:4">
      <c r="D90" s="227"/>
    </row>
    <row r="91" spans="4:4">
      <c r="D91" s="227"/>
    </row>
    <row r="92" spans="4:4">
      <c r="D92" s="227"/>
    </row>
    <row r="93" spans="4:4">
      <c r="D93" s="227"/>
    </row>
    <row r="94" spans="4:4">
      <c r="D94" s="227"/>
    </row>
    <row r="95" spans="4:4">
      <c r="D95" s="227"/>
    </row>
    <row r="96" spans="4:4">
      <c r="D96" s="227"/>
    </row>
    <row r="97" spans="4:4">
      <c r="D97" s="227"/>
    </row>
    <row r="98" spans="4:4">
      <c r="D98" s="227"/>
    </row>
    <row r="99" spans="4:4">
      <c r="D99" s="227"/>
    </row>
    <row r="100" spans="4:4">
      <c r="D100" s="227"/>
    </row>
    <row r="101" spans="4:4">
      <c r="D101" s="227"/>
    </row>
    <row r="102" spans="4:4">
      <c r="D102" s="227"/>
    </row>
    <row r="103" spans="4:4">
      <c r="D103" s="227"/>
    </row>
    <row r="104" spans="4:4">
      <c r="D104" s="227"/>
    </row>
    <row r="105" spans="4:4">
      <c r="D105" s="227"/>
    </row>
    <row r="106" spans="4:4">
      <c r="D106" s="227"/>
    </row>
    <row r="107" spans="4:4">
      <c r="D107" s="227"/>
    </row>
    <row r="108" spans="4:4">
      <c r="D108" s="227"/>
    </row>
    <row r="109" spans="4:4">
      <c r="D109" s="227"/>
    </row>
    <row r="110" spans="4:4">
      <c r="D110" s="227"/>
    </row>
    <row r="111" spans="4:4">
      <c r="D111" s="227"/>
    </row>
    <row r="112" spans="4:4">
      <c r="D112" s="227"/>
    </row>
    <row r="113" spans="4:4">
      <c r="D113" s="227"/>
    </row>
    <row r="114" spans="4:4">
      <c r="D114" s="227"/>
    </row>
    <row r="115" spans="4:4">
      <c r="D115" s="227"/>
    </row>
    <row r="116" spans="4:4">
      <c r="D116" s="227"/>
    </row>
    <row r="117" spans="4:4">
      <c r="D117" s="227"/>
    </row>
    <row r="118" spans="4:4">
      <c r="D118" s="227"/>
    </row>
    <row r="119" spans="4:4">
      <c r="D119" s="227"/>
    </row>
    <row r="120" spans="4:4">
      <c r="D120" s="227"/>
    </row>
    <row r="121" spans="4:4">
      <c r="D121" s="227"/>
    </row>
    <row r="122" spans="4:4">
      <c r="D122" s="227"/>
    </row>
    <row r="123" spans="4:4">
      <c r="D123" s="227"/>
    </row>
    <row r="124" spans="4:4">
      <c r="D124" s="227"/>
    </row>
    <row r="125" spans="4:4">
      <c r="D125" s="227"/>
    </row>
    <row r="126" spans="4:4">
      <c r="D126" s="227"/>
    </row>
    <row r="127" spans="4:4">
      <c r="D127" s="227"/>
    </row>
    <row r="128" spans="4:4">
      <c r="D128" s="227"/>
    </row>
    <row r="129" spans="4:4">
      <c r="D129" s="227"/>
    </row>
    <row r="130" spans="4:4">
      <c r="D130" s="227"/>
    </row>
    <row r="131" spans="4:4">
      <c r="D131" s="227"/>
    </row>
    <row r="132" spans="4:4">
      <c r="D132" s="227"/>
    </row>
    <row r="133" spans="4:4">
      <c r="D133" s="227"/>
    </row>
    <row r="134" spans="4:4">
      <c r="D134" s="227"/>
    </row>
    <row r="135" spans="4:4">
      <c r="D135" s="227"/>
    </row>
    <row r="136" spans="4:4">
      <c r="D136" s="227"/>
    </row>
    <row r="137" spans="4:4">
      <c r="D137" s="227"/>
    </row>
    <row r="138" spans="4:4">
      <c r="D138" s="227"/>
    </row>
    <row r="139" spans="4:4">
      <c r="D139" s="227"/>
    </row>
    <row r="140" spans="4:4">
      <c r="D140" s="227"/>
    </row>
    <row r="141" spans="4:4">
      <c r="D141" s="227"/>
    </row>
    <row r="142" spans="4:4">
      <c r="D142" s="227"/>
    </row>
    <row r="143" spans="4:4">
      <c r="D143" s="227"/>
    </row>
    <row r="144" spans="4:4">
      <c r="D144" s="227"/>
    </row>
    <row r="145" spans="4:4">
      <c r="D145" s="227"/>
    </row>
    <row r="146" spans="4:4">
      <c r="D146" s="227"/>
    </row>
    <row r="147" spans="4:4">
      <c r="D147" s="227"/>
    </row>
    <row r="148" spans="4:4">
      <c r="D148" s="227"/>
    </row>
    <row r="149" spans="4:4">
      <c r="D149" s="227"/>
    </row>
    <row r="150" spans="4:4">
      <c r="D150" s="227"/>
    </row>
    <row r="151" spans="4:4">
      <c r="D151" s="227"/>
    </row>
    <row r="152" spans="4:4">
      <c r="D152" s="227"/>
    </row>
    <row r="153" spans="4:4">
      <c r="D153" s="227"/>
    </row>
    <row r="154" spans="4:4">
      <c r="D154" s="227"/>
    </row>
    <row r="155" spans="4:4">
      <c r="D155" s="227"/>
    </row>
    <row r="156" spans="4:4">
      <c r="D156" s="227"/>
    </row>
    <row r="157" spans="4:4">
      <c r="D157" s="227"/>
    </row>
    <row r="158" spans="4:4">
      <c r="D158" s="227"/>
    </row>
    <row r="159" spans="4:4">
      <c r="D159" s="227"/>
    </row>
    <row r="160" spans="4:4">
      <c r="D160" s="227"/>
    </row>
    <row r="161" spans="4:4">
      <c r="D161" s="227"/>
    </row>
    <row r="162" spans="4:4">
      <c r="D162" s="227"/>
    </row>
    <row r="163" spans="4:4">
      <c r="D163" s="227"/>
    </row>
    <row r="164" spans="4:4">
      <c r="D164" s="227"/>
    </row>
    <row r="165" spans="4:4">
      <c r="D165" s="227"/>
    </row>
    <row r="166" spans="4:4">
      <c r="D166" s="227"/>
    </row>
    <row r="167" spans="4:4">
      <c r="D167" s="227"/>
    </row>
    <row r="168" spans="4:4">
      <c r="D168" s="227"/>
    </row>
    <row r="169" spans="4:4">
      <c r="D169" s="227"/>
    </row>
    <row r="170" spans="4:4">
      <c r="D170" s="227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M170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919" customWidth="1"/>
    <col min="2" max="2" width="11.140625" style="187" customWidth="1"/>
    <col min="3" max="3" width="32.42578125" style="227" customWidth="1"/>
    <col min="4" max="10" width="18.5703125" style="332" customWidth="1"/>
    <col min="11" max="11" width="18.5703125" style="227" customWidth="1"/>
    <col min="12" max="12" width="24" style="227" customWidth="1"/>
    <col min="13" max="13" width="5.140625" style="919" customWidth="1"/>
    <col min="14" max="14" width="11.85546875" style="227" bestFit="1" customWidth="1"/>
    <col min="15" max="15" width="13.140625" style="227" customWidth="1"/>
    <col min="16" max="16384" width="9.140625" style="227"/>
  </cols>
  <sheetData>
    <row r="1" spans="1:13">
      <c r="C1" s="187"/>
    </row>
    <row r="2" spans="1:13" s="170" customFormat="1">
      <c r="A2" s="915"/>
      <c r="B2" s="1642" t="s">
        <v>17</v>
      </c>
      <c r="C2" s="1642"/>
      <c r="D2" s="1642"/>
      <c r="E2" s="1642"/>
      <c r="F2" s="1642"/>
      <c r="G2" s="1642"/>
      <c r="H2" s="1642"/>
      <c r="I2" s="1642"/>
      <c r="J2" s="1642"/>
      <c r="K2" s="1642"/>
      <c r="L2" s="1642"/>
      <c r="M2" s="915"/>
    </row>
    <row r="3" spans="1:13" s="170" customFormat="1">
      <c r="A3" s="915"/>
      <c r="B3" s="1642" t="s">
        <v>59</v>
      </c>
      <c r="C3" s="1642"/>
      <c r="D3" s="1642"/>
      <c r="E3" s="1642"/>
      <c r="F3" s="1642"/>
      <c r="G3" s="1642"/>
      <c r="H3" s="1642"/>
      <c r="I3" s="1642"/>
      <c r="J3" s="1642"/>
      <c r="K3" s="1642"/>
      <c r="L3" s="1642"/>
      <c r="M3" s="915"/>
    </row>
    <row r="4" spans="1:13">
      <c r="B4" s="1642" t="s">
        <v>60</v>
      </c>
      <c r="C4" s="1642"/>
      <c r="D4" s="1642"/>
      <c r="E4" s="1642"/>
      <c r="F4" s="1642"/>
      <c r="G4" s="1642"/>
      <c r="H4" s="1642"/>
      <c r="I4" s="1642"/>
      <c r="J4" s="1642"/>
      <c r="K4" s="1642"/>
      <c r="L4" s="1642"/>
    </row>
    <row r="5" spans="1:13">
      <c r="B5" s="1647" t="str">
        <f>"BALANCES AS OF 12/31/"&amp;Automation!$B$3</f>
        <v>BALANCES AS OF 12/31/2019</v>
      </c>
      <c r="C5" s="1647"/>
      <c r="D5" s="1647"/>
      <c r="E5" s="1647"/>
      <c r="F5" s="1647"/>
      <c r="G5" s="1647"/>
      <c r="H5" s="1647"/>
      <c r="I5" s="1647"/>
      <c r="J5" s="1647"/>
      <c r="K5" s="1647"/>
      <c r="L5" s="1647"/>
    </row>
    <row r="6" spans="1:13">
      <c r="B6" s="1647" t="s">
        <v>2</v>
      </c>
      <c r="C6" s="1642"/>
      <c r="D6" s="1642"/>
      <c r="E6" s="1642"/>
      <c r="F6" s="1642"/>
      <c r="G6" s="1642"/>
      <c r="H6" s="1642"/>
      <c r="I6" s="1642"/>
      <c r="J6" s="1642"/>
      <c r="K6" s="1642"/>
      <c r="L6" s="1642"/>
    </row>
    <row r="7" spans="1:13">
      <c r="C7" s="172"/>
      <c r="D7" s="173"/>
      <c r="E7" s="293"/>
      <c r="F7" s="293"/>
      <c r="G7" s="293"/>
      <c r="H7" s="293"/>
      <c r="I7" s="293"/>
      <c r="J7" s="293"/>
    </row>
    <row r="8" spans="1:13" s="169" customFormat="1">
      <c r="A8" s="915"/>
      <c r="B8" s="245"/>
      <c r="C8" s="294"/>
      <c r="D8" s="295" t="s">
        <v>28</v>
      </c>
      <c r="E8" s="296" t="s">
        <v>29</v>
      </c>
      <c r="F8" s="296" t="s">
        <v>61</v>
      </c>
      <c r="G8" s="296" t="s">
        <v>62</v>
      </c>
      <c r="H8" s="296" t="s">
        <v>63</v>
      </c>
      <c r="I8" s="296" t="s">
        <v>64</v>
      </c>
      <c r="J8" s="296" t="s">
        <v>65</v>
      </c>
      <c r="K8" s="296" t="s">
        <v>66</v>
      </c>
      <c r="L8" s="245"/>
      <c r="M8" s="915" t="s">
        <v>9</v>
      </c>
    </row>
    <row r="9" spans="1:13">
      <c r="B9" s="297"/>
      <c r="C9" s="298"/>
      <c r="D9" s="299"/>
      <c r="E9" s="300"/>
      <c r="F9" s="300"/>
      <c r="G9" s="300"/>
      <c r="H9" s="300"/>
      <c r="I9" s="300"/>
      <c r="J9" s="300"/>
      <c r="K9" s="301" t="s">
        <v>30</v>
      </c>
      <c r="L9" s="297"/>
      <c r="M9" s="919" t="s">
        <v>9</v>
      </c>
    </row>
    <row r="10" spans="1:13">
      <c r="B10" s="302"/>
      <c r="C10" s="303"/>
      <c r="D10" s="299"/>
      <c r="E10" s="300" t="s">
        <v>67</v>
      </c>
      <c r="F10" s="300" t="s">
        <v>55</v>
      </c>
      <c r="G10" s="300" t="s">
        <v>58</v>
      </c>
      <c r="H10" s="300" t="s">
        <v>58</v>
      </c>
      <c r="I10" s="300" t="s">
        <v>58</v>
      </c>
      <c r="J10" s="300" t="s">
        <v>58</v>
      </c>
      <c r="K10" s="300" t="s">
        <v>58</v>
      </c>
      <c r="L10" s="275"/>
      <c r="M10" s="919" t="s">
        <v>9</v>
      </c>
    </row>
    <row r="11" spans="1:13">
      <c r="B11" s="304"/>
      <c r="C11" s="209"/>
      <c r="D11" s="305" t="s">
        <v>30</v>
      </c>
      <c r="E11" s="300" t="s">
        <v>68</v>
      </c>
      <c r="F11" s="300" t="s">
        <v>68</v>
      </c>
      <c r="G11" s="300" t="s">
        <v>68</v>
      </c>
      <c r="H11" s="300" t="s">
        <v>68</v>
      </c>
      <c r="I11" s="300" t="s">
        <v>68</v>
      </c>
      <c r="J11" s="300" t="s">
        <v>68</v>
      </c>
      <c r="K11" s="300" t="s">
        <v>56</v>
      </c>
      <c r="L11" s="182"/>
    </row>
    <row r="12" spans="1:13">
      <c r="A12" s="919" t="s">
        <v>3</v>
      </c>
      <c r="B12" s="304"/>
      <c r="C12" s="182"/>
      <c r="D12" s="305" t="s">
        <v>58</v>
      </c>
      <c r="E12" s="300" t="s">
        <v>69</v>
      </c>
      <c r="F12" s="306" t="s">
        <v>69</v>
      </c>
      <c r="G12" s="300" t="s">
        <v>69</v>
      </c>
      <c r="H12" s="300" t="s">
        <v>69</v>
      </c>
      <c r="I12" s="300" t="s">
        <v>69</v>
      </c>
      <c r="J12" s="300" t="s">
        <v>69</v>
      </c>
      <c r="K12" s="300" t="s">
        <v>49</v>
      </c>
      <c r="L12" s="182"/>
      <c r="M12" s="919" t="s">
        <v>3</v>
      </c>
    </row>
    <row r="13" spans="1:13">
      <c r="A13" s="919" t="s">
        <v>24</v>
      </c>
      <c r="B13" s="191" t="s">
        <v>70</v>
      </c>
      <c r="C13" s="191" t="s">
        <v>71</v>
      </c>
      <c r="D13" s="307" t="s">
        <v>68</v>
      </c>
      <c r="E13" s="308" t="s">
        <v>72</v>
      </c>
      <c r="F13" s="308" t="s">
        <v>73</v>
      </c>
      <c r="G13" s="308" t="s">
        <v>74</v>
      </c>
      <c r="H13" s="308" t="s">
        <v>75</v>
      </c>
      <c r="I13" s="308" t="s">
        <v>48</v>
      </c>
      <c r="J13" s="309" t="s">
        <v>76</v>
      </c>
      <c r="K13" s="191" t="s">
        <v>77</v>
      </c>
      <c r="L13" s="191" t="s">
        <v>8</v>
      </c>
      <c r="M13" s="919" t="s">
        <v>24</v>
      </c>
    </row>
    <row r="14" spans="1:13">
      <c r="B14" s="275"/>
      <c r="C14" s="303" t="s">
        <v>78</v>
      </c>
      <c r="D14" s="310"/>
      <c r="E14" s="303"/>
      <c r="F14" s="303"/>
      <c r="G14" s="303"/>
      <c r="H14" s="303"/>
      <c r="I14" s="303"/>
      <c r="J14" s="303"/>
      <c r="K14" s="311"/>
      <c r="L14" s="275"/>
    </row>
    <row r="15" spans="1:13">
      <c r="A15" s="919">
        <v>1</v>
      </c>
      <c r="B15" s="343">
        <v>303</v>
      </c>
      <c r="C15" s="94" t="s">
        <v>79</v>
      </c>
      <c r="D15" s="314">
        <v>0</v>
      </c>
      <c r="E15" s="314">
        <v>0</v>
      </c>
      <c r="F15" s="315">
        <v>0</v>
      </c>
      <c r="G15" s="315">
        <v>0</v>
      </c>
      <c r="H15" s="315">
        <v>0</v>
      </c>
      <c r="I15" s="315">
        <v>0</v>
      </c>
      <c r="J15" s="315">
        <v>0</v>
      </c>
      <c r="K15" s="233">
        <f>SUM(D15:J15)</f>
        <v>0</v>
      </c>
      <c r="L15" s="275" t="s">
        <v>415</v>
      </c>
      <c r="M15" s="919">
        <f>A15</f>
        <v>1</v>
      </c>
    </row>
    <row r="16" spans="1:13">
      <c r="A16" s="919">
        <f>A15+1</f>
        <v>2</v>
      </c>
      <c r="B16" s="344">
        <v>310.10000000000002</v>
      </c>
      <c r="C16" s="94" t="s">
        <v>80</v>
      </c>
      <c r="D16" s="316">
        <v>0</v>
      </c>
      <c r="E16" s="316">
        <v>0</v>
      </c>
      <c r="F16" s="317">
        <v>0</v>
      </c>
      <c r="G16" s="317">
        <v>0</v>
      </c>
      <c r="H16" s="317">
        <v>0</v>
      </c>
      <c r="I16" s="317">
        <v>0</v>
      </c>
      <c r="J16" s="317">
        <v>0</v>
      </c>
      <c r="K16" s="234">
        <f>SUM(D16:J16)</f>
        <v>0</v>
      </c>
      <c r="L16" s="275" t="s">
        <v>415</v>
      </c>
      <c r="M16" s="919">
        <f>M15+1</f>
        <v>2</v>
      </c>
    </row>
    <row r="17" spans="1:13">
      <c r="A17" s="919">
        <f t="shared" ref="A17:A35" si="0">A16+1</f>
        <v>3</v>
      </c>
      <c r="B17" s="343">
        <v>340</v>
      </c>
      <c r="C17" s="345" t="s">
        <v>81</v>
      </c>
      <c r="D17" s="316">
        <v>0</v>
      </c>
      <c r="E17" s="316">
        <v>4.6016900000000005</v>
      </c>
      <c r="F17" s="317">
        <v>0</v>
      </c>
      <c r="G17" s="317">
        <v>0</v>
      </c>
      <c r="H17" s="317">
        <v>0</v>
      </c>
      <c r="I17" s="317">
        <v>0</v>
      </c>
      <c r="J17" s="317">
        <v>0</v>
      </c>
      <c r="K17" s="318">
        <f>SUM(D17:J17)</f>
        <v>4.6016900000000005</v>
      </c>
      <c r="L17" s="275" t="s">
        <v>415</v>
      </c>
      <c r="M17" s="919">
        <f t="shared" ref="M17:M35" si="1">M16+1</f>
        <v>3</v>
      </c>
    </row>
    <row r="18" spans="1:13">
      <c r="A18" s="919">
        <f t="shared" si="0"/>
        <v>4</v>
      </c>
      <c r="B18" s="343">
        <v>360</v>
      </c>
      <c r="C18" s="345" t="s">
        <v>81</v>
      </c>
      <c r="D18" s="316">
        <v>0</v>
      </c>
      <c r="E18" s="316">
        <v>0</v>
      </c>
      <c r="F18" s="317">
        <v>3634.0221999999999</v>
      </c>
      <c r="G18" s="317">
        <v>0</v>
      </c>
      <c r="H18" s="317">
        <v>0</v>
      </c>
      <c r="I18" s="317">
        <v>0</v>
      </c>
      <c r="J18" s="317">
        <v>0</v>
      </c>
      <c r="K18" s="318">
        <f>SUM(D18:J18)</f>
        <v>3634.0221999999999</v>
      </c>
      <c r="L18" s="275" t="s">
        <v>415</v>
      </c>
      <c r="M18" s="919">
        <f t="shared" si="1"/>
        <v>4</v>
      </c>
    </row>
    <row r="19" spans="1:13">
      <c r="A19" s="919">
        <f t="shared" si="0"/>
        <v>5</v>
      </c>
      <c r="B19" s="343">
        <v>361</v>
      </c>
      <c r="C19" s="94" t="s">
        <v>82</v>
      </c>
      <c r="D19" s="316">
        <v>0</v>
      </c>
      <c r="E19" s="316">
        <v>0</v>
      </c>
      <c r="F19" s="317">
        <v>1039.44714</v>
      </c>
      <c r="G19" s="317">
        <v>0</v>
      </c>
      <c r="H19" s="317">
        <v>0</v>
      </c>
      <c r="I19" s="317">
        <v>0</v>
      </c>
      <c r="J19" s="317">
        <v>0</v>
      </c>
      <c r="K19" s="318">
        <f>SUM(D19:J19)</f>
        <v>1039.44714</v>
      </c>
      <c r="L19" s="275" t="s">
        <v>415</v>
      </c>
      <c r="M19" s="919">
        <f t="shared" si="1"/>
        <v>5</v>
      </c>
    </row>
    <row r="20" spans="1:13">
      <c r="A20" s="919">
        <f t="shared" si="0"/>
        <v>6</v>
      </c>
      <c r="B20" s="275"/>
      <c r="C20" s="303"/>
      <c r="D20" s="310"/>
      <c r="E20" s="303"/>
      <c r="F20" s="303"/>
      <c r="G20" s="303"/>
      <c r="H20" s="303"/>
      <c r="I20" s="303"/>
      <c r="J20" s="303"/>
      <c r="K20" s="311"/>
      <c r="L20" s="275"/>
      <c r="M20" s="919">
        <f t="shared" si="1"/>
        <v>6</v>
      </c>
    </row>
    <row r="21" spans="1:13" s="170" customFormat="1">
      <c r="A21" s="919">
        <f t="shared" si="0"/>
        <v>7</v>
      </c>
      <c r="B21" s="319" t="s">
        <v>83</v>
      </c>
      <c r="C21" s="320" t="s">
        <v>84</v>
      </c>
      <c r="D21" s="321">
        <f>SUM(D15:D20)</f>
        <v>0</v>
      </c>
      <c r="E21" s="321">
        <f t="shared" ref="E21:I21" si="2">SUM(E15:E20)</f>
        <v>4.6016900000000005</v>
      </c>
      <c r="F21" s="321">
        <f t="shared" si="2"/>
        <v>4673.4693399999996</v>
      </c>
      <c r="G21" s="321">
        <f t="shared" si="2"/>
        <v>0</v>
      </c>
      <c r="H21" s="321">
        <f t="shared" si="2"/>
        <v>0</v>
      </c>
      <c r="I21" s="321">
        <f t="shared" si="2"/>
        <v>0</v>
      </c>
      <c r="J21" s="321">
        <f>SUM(J15:J20)</f>
        <v>0</v>
      </c>
      <c r="K21" s="322">
        <f>SUM(K15:K20)</f>
        <v>4678.0710300000001</v>
      </c>
      <c r="L21" s="323" t="str">
        <f>"Sum Lines "&amp;A15&amp;" thru "&amp;A19</f>
        <v>Sum Lines 1 thru 5</v>
      </c>
      <c r="M21" s="919">
        <f t="shared" si="1"/>
        <v>7</v>
      </c>
    </row>
    <row r="22" spans="1:13">
      <c r="A22" s="919">
        <f t="shared" si="0"/>
        <v>8</v>
      </c>
      <c r="B22" s="275"/>
      <c r="C22" s="303"/>
      <c r="D22" s="324"/>
      <c r="E22" s="325"/>
      <c r="F22" s="325"/>
      <c r="G22" s="325"/>
      <c r="H22" s="325"/>
      <c r="I22" s="325"/>
      <c r="J22" s="325"/>
      <c r="K22" s="311"/>
      <c r="L22" s="275"/>
      <c r="M22" s="919">
        <f t="shared" si="1"/>
        <v>8</v>
      </c>
    </row>
    <row r="23" spans="1:13">
      <c r="A23" s="919">
        <f t="shared" si="0"/>
        <v>9</v>
      </c>
      <c r="B23" s="343">
        <v>350</v>
      </c>
      <c r="C23" s="94" t="s">
        <v>81</v>
      </c>
      <c r="D23" s="327">
        <v>243026.22779</v>
      </c>
      <c r="E23" s="314">
        <v>0</v>
      </c>
      <c r="F23" s="315">
        <v>0</v>
      </c>
      <c r="G23" s="314">
        <v>0</v>
      </c>
      <c r="H23" s="314">
        <v>0</v>
      </c>
      <c r="I23" s="314">
        <v>0</v>
      </c>
      <c r="J23" s="314">
        <v>-13529.40286</v>
      </c>
      <c r="K23" s="328">
        <f t="shared" ref="K23:K31" si="3">SUM(D23:J23)</f>
        <v>229496.82493</v>
      </c>
      <c r="L23" s="275" t="s">
        <v>415</v>
      </c>
      <c r="M23" s="919">
        <f t="shared" si="1"/>
        <v>9</v>
      </c>
    </row>
    <row r="24" spans="1:13">
      <c r="A24" s="919">
        <f t="shared" si="0"/>
        <v>10</v>
      </c>
      <c r="B24" s="343">
        <v>352</v>
      </c>
      <c r="C24" s="94" t="s">
        <v>82</v>
      </c>
      <c r="D24" s="329">
        <v>631967.40824999998</v>
      </c>
      <c r="E24" s="317">
        <v>0</v>
      </c>
      <c r="F24" s="317">
        <v>0</v>
      </c>
      <c r="G24" s="324">
        <v>-1928.27782</v>
      </c>
      <c r="H24" s="317">
        <v>0</v>
      </c>
      <c r="I24" s="317">
        <v>0</v>
      </c>
      <c r="J24" s="325">
        <v>-61434.050009999999</v>
      </c>
      <c r="K24" s="330">
        <f t="shared" si="3"/>
        <v>568605.08042000001</v>
      </c>
      <c r="L24" s="275" t="s">
        <v>415</v>
      </c>
      <c r="M24" s="919">
        <f t="shared" si="1"/>
        <v>10</v>
      </c>
    </row>
    <row r="25" spans="1:13">
      <c r="A25" s="919">
        <f t="shared" si="0"/>
        <v>11</v>
      </c>
      <c r="B25" s="343">
        <v>353</v>
      </c>
      <c r="C25" s="94" t="s">
        <v>85</v>
      </c>
      <c r="D25" s="329">
        <v>1907477.5362199999</v>
      </c>
      <c r="E25" s="317">
        <v>0</v>
      </c>
      <c r="F25" s="317">
        <v>0</v>
      </c>
      <c r="G25" s="324">
        <v>-12009.877780000001</v>
      </c>
      <c r="H25" s="317">
        <v>-1420.3928799999999</v>
      </c>
      <c r="I25" s="317">
        <v>0</v>
      </c>
      <c r="J25" s="325">
        <v>-2455.7464500000001</v>
      </c>
      <c r="K25" s="330">
        <f t="shared" si="3"/>
        <v>1891591.51911</v>
      </c>
      <c r="L25" s="275" t="s">
        <v>415</v>
      </c>
      <c r="M25" s="919">
        <f t="shared" si="1"/>
        <v>11</v>
      </c>
    </row>
    <row r="26" spans="1:13">
      <c r="A26" s="919">
        <f t="shared" si="0"/>
        <v>12</v>
      </c>
      <c r="B26" s="343">
        <v>354</v>
      </c>
      <c r="C26" s="94" t="s">
        <v>86</v>
      </c>
      <c r="D26" s="329">
        <v>905834.22152999998</v>
      </c>
      <c r="E26" s="317">
        <v>0</v>
      </c>
      <c r="F26" s="317">
        <v>0</v>
      </c>
      <c r="G26" s="324">
        <v>0</v>
      </c>
      <c r="H26" s="317">
        <v>0</v>
      </c>
      <c r="I26" s="317">
        <v>0</v>
      </c>
      <c r="J26" s="325">
        <v>0</v>
      </c>
      <c r="K26" s="330">
        <f t="shared" si="3"/>
        <v>905834.22152999998</v>
      </c>
      <c r="L26" s="275" t="s">
        <v>415</v>
      </c>
      <c r="M26" s="919">
        <f t="shared" si="1"/>
        <v>12</v>
      </c>
    </row>
    <row r="27" spans="1:13">
      <c r="A27" s="919">
        <f t="shared" si="0"/>
        <v>13</v>
      </c>
      <c r="B27" s="343">
        <v>355</v>
      </c>
      <c r="C27" s="94" t="s">
        <v>87</v>
      </c>
      <c r="D27" s="329">
        <v>747025.02674</v>
      </c>
      <c r="E27" s="317">
        <v>0</v>
      </c>
      <c r="F27" s="317">
        <v>0</v>
      </c>
      <c r="G27" s="324">
        <v>0</v>
      </c>
      <c r="H27" s="317">
        <v>0</v>
      </c>
      <c r="I27" s="317">
        <v>0</v>
      </c>
      <c r="J27" s="325">
        <v>0</v>
      </c>
      <c r="K27" s="330">
        <f t="shared" si="3"/>
        <v>747025.02674</v>
      </c>
      <c r="L27" s="275" t="s">
        <v>415</v>
      </c>
      <c r="M27" s="919">
        <f t="shared" si="1"/>
        <v>13</v>
      </c>
    </row>
    <row r="28" spans="1:13">
      <c r="A28" s="919">
        <f t="shared" si="0"/>
        <v>14</v>
      </c>
      <c r="B28" s="343">
        <v>356</v>
      </c>
      <c r="C28" s="94" t="s">
        <v>88</v>
      </c>
      <c r="D28" s="329">
        <v>724896.08875</v>
      </c>
      <c r="E28" s="317">
        <v>0</v>
      </c>
      <c r="F28" s="317">
        <v>0</v>
      </c>
      <c r="G28" s="324">
        <v>0</v>
      </c>
      <c r="H28" s="317">
        <v>0</v>
      </c>
      <c r="I28" s="317">
        <v>0</v>
      </c>
      <c r="J28" s="325">
        <v>0</v>
      </c>
      <c r="K28" s="330">
        <f t="shared" si="3"/>
        <v>724896.08875</v>
      </c>
      <c r="L28" s="275" t="s">
        <v>415</v>
      </c>
      <c r="M28" s="919">
        <f t="shared" si="1"/>
        <v>14</v>
      </c>
    </row>
    <row r="29" spans="1:13">
      <c r="A29" s="919">
        <f t="shared" si="0"/>
        <v>15</v>
      </c>
      <c r="B29" s="343">
        <v>357</v>
      </c>
      <c r="C29" s="94" t="s">
        <v>89</v>
      </c>
      <c r="D29" s="329">
        <v>467460.86725000001</v>
      </c>
      <c r="E29" s="317">
        <v>0</v>
      </c>
      <c r="F29" s="317">
        <v>0</v>
      </c>
      <c r="G29" s="324">
        <v>0</v>
      </c>
      <c r="H29" s="317">
        <v>0</v>
      </c>
      <c r="I29" s="317">
        <v>0</v>
      </c>
      <c r="J29" s="325">
        <v>0</v>
      </c>
      <c r="K29" s="330">
        <f t="shared" si="3"/>
        <v>467460.86725000001</v>
      </c>
      <c r="L29" s="275" t="s">
        <v>415</v>
      </c>
      <c r="M29" s="919">
        <f t="shared" si="1"/>
        <v>15</v>
      </c>
    </row>
    <row r="30" spans="1:13">
      <c r="A30" s="919">
        <f t="shared" si="0"/>
        <v>16</v>
      </c>
      <c r="B30" s="343">
        <v>358</v>
      </c>
      <c r="C30" s="94" t="s">
        <v>90</v>
      </c>
      <c r="D30" s="329">
        <v>505866.01439000003</v>
      </c>
      <c r="E30" s="317">
        <v>0</v>
      </c>
      <c r="F30" s="317">
        <v>0</v>
      </c>
      <c r="G30" s="324">
        <v>-1726.37997</v>
      </c>
      <c r="H30" s="317">
        <v>0</v>
      </c>
      <c r="I30" s="317">
        <v>0</v>
      </c>
      <c r="J30" s="325">
        <v>0</v>
      </c>
      <c r="K30" s="330">
        <f t="shared" si="3"/>
        <v>504139.63442000002</v>
      </c>
      <c r="L30" s="275" t="s">
        <v>415</v>
      </c>
      <c r="M30" s="919">
        <f t="shared" si="1"/>
        <v>16</v>
      </c>
    </row>
    <row r="31" spans="1:13">
      <c r="A31" s="919">
        <f t="shared" si="0"/>
        <v>17</v>
      </c>
      <c r="B31" s="343">
        <v>359</v>
      </c>
      <c r="C31" s="94" t="s">
        <v>91</v>
      </c>
      <c r="D31" s="329">
        <v>328926.24660000001</v>
      </c>
      <c r="E31" s="317">
        <v>0</v>
      </c>
      <c r="F31" s="317">
        <v>0</v>
      </c>
      <c r="G31" s="324">
        <v>0</v>
      </c>
      <c r="H31" s="317">
        <v>0</v>
      </c>
      <c r="I31" s="317">
        <v>0</v>
      </c>
      <c r="J31" s="325">
        <v>0</v>
      </c>
      <c r="K31" s="330">
        <f t="shared" si="3"/>
        <v>328926.24660000001</v>
      </c>
      <c r="L31" s="275" t="s">
        <v>415</v>
      </c>
      <c r="M31" s="919">
        <f t="shared" si="1"/>
        <v>17</v>
      </c>
    </row>
    <row r="32" spans="1:13">
      <c r="A32" s="919">
        <f t="shared" si="0"/>
        <v>18</v>
      </c>
      <c r="B32" s="312"/>
      <c r="C32" s="303"/>
      <c r="D32" s="324"/>
      <c r="F32" s="333"/>
      <c r="G32" s="333"/>
      <c r="H32" s="333"/>
      <c r="I32" s="333"/>
      <c r="J32" s="325"/>
      <c r="K32" s="334"/>
      <c r="L32" s="312"/>
      <c r="M32" s="919">
        <f t="shared" si="1"/>
        <v>18</v>
      </c>
    </row>
    <row r="33" spans="1:13">
      <c r="A33" s="919">
        <f t="shared" si="0"/>
        <v>19</v>
      </c>
      <c r="B33" s="335" t="s">
        <v>83</v>
      </c>
      <c r="C33" s="320" t="s">
        <v>57</v>
      </c>
      <c r="D33" s="321">
        <f>SUM(D23:D32)</f>
        <v>6462479.6375200003</v>
      </c>
      <c r="E33" s="321">
        <f t="shared" ref="E33:I33" si="4">SUM(E23:E32)</f>
        <v>0</v>
      </c>
      <c r="F33" s="321">
        <f t="shared" si="4"/>
        <v>0</v>
      </c>
      <c r="G33" s="321">
        <f t="shared" si="4"/>
        <v>-15664.53557</v>
      </c>
      <c r="H33" s="321">
        <f t="shared" si="4"/>
        <v>-1420.3928799999999</v>
      </c>
      <c r="I33" s="321">
        <f t="shared" si="4"/>
        <v>0</v>
      </c>
      <c r="J33" s="321">
        <f>SUM(J23:J32)</f>
        <v>-77419.19932</v>
      </c>
      <c r="K33" s="322">
        <f>SUM(K23:K32)</f>
        <v>6367975.5097500002</v>
      </c>
      <c r="L33" s="336" t="str">
        <f>"Sum Lines "&amp;A23&amp;" thru "&amp;A31</f>
        <v>Sum Lines 9 thru 17</v>
      </c>
      <c r="M33" s="919">
        <f t="shared" si="1"/>
        <v>19</v>
      </c>
    </row>
    <row r="34" spans="1:13">
      <c r="A34" s="919">
        <f t="shared" si="0"/>
        <v>20</v>
      </c>
      <c r="B34" s="302"/>
      <c r="D34" s="337"/>
      <c r="J34" s="326"/>
      <c r="K34" s="331"/>
      <c r="L34" s="338"/>
      <c r="M34" s="919">
        <f t="shared" si="1"/>
        <v>20</v>
      </c>
    </row>
    <row r="35" spans="1:13">
      <c r="A35" s="919">
        <f t="shared" si="0"/>
        <v>21</v>
      </c>
      <c r="B35" s="339" t="s">
        <v>92</v>
      </c>
      <c r="C35" s="340"/>
      <c r="D35" s="341">
        <f>D33+D21</f>
        <v>6462479.6375200003</v>
      </c>
      <c r="E35" s="341">
        <f t="shared" ref="E35:I35" si="5">E33+E21</f>
        <v>4.6016900000000005</v>
      </c>
      <c r="F35" s="341">
        <f t="shared" si="5"/>
        <v>4673.4693399999996</v>
      </c>
      <c r="G35" s="341">
        <f>G33+G21</f>
        <v>-15664.53557</v>
      </c>
      <c r="H35" s="341">
        <f>H33+H21</f>
        <v>-1420.3928799999999</v>
      </c>
      <c r="I35" s="342">
        <f t="shared" si="5"/>
        <v>0</v>
      </c>
      <c r="J35" s="341">
        <f>J33+J21</f>
        <v>-77419.19932</v>
      </c>
      <c r="K35" s="861">
        <f>K33+K21</f>
        <v>6372653.5807800004</v>
      </c>
      <c r="L35" s="323" t="str">
        <f>"Line "&amp;A21&amp;" + Line "&amp;A33</f>
        <v>Line 7 + Line 19</v>
      </c>
      <c r="M35" s="919">
        <f t="shared" si="1"/>
        <v>21</v>
      </c>
    </row>
    <row r="36" spans="1:13">
      <c r="D36" s="227"/>
    </row>
    <row r="37" spans="1:13">
      <c r="D37" s="227"/>
    </row>
    <row r="38" spans="1:13">
      <c r="B38" s="160" t="s">
        <v>580</v>
      </c>
      <c r="D38" s="227"/>
    </row>
    <row r="39" spans="1:13">
      <c r="D39" s="227"/>
      <c r="K39" s="240"/>
      <c r="L39" s="240"/>
    </row>
    <row r="40" spans="1:13">
      <c r="D40" s="227"/>
    </row>
    <row r="41" spans="1:13">
      <c r="D41" s="227"/>
    </row>
    <row r="42" spans="1:13">
      <c r="D42" s="227"/>
    </row>
    <row r="43" spans="1:13">
      <c r="D43" s="227"/>
    </row>
    <row r="44" spans="1:13">
      <c r="D44" s="227"/>
    </row>
    <row r="45" spans="1:13">
      <c r="D45" s="227"/>
    </row>
    <row r="46" spans="1:13">
      <c r="D46" s="227"/>
    </row>
    <row r="47" spans="1:13">
      <c r="D47" s="227"/>
    </row>
    <row r="48" spans="1:13">
      <c r="D48" s="227"/>
    </row>
    <row r="49" spans="4:4">
      <c r="D49" s="227"/>
    </row>
    <row r="50" spans="4:4">
      <c r="D50" s="227"/>
    </row>
    <row r="51" spans="4:4">
      <c r="D51" s="227"/>
    </row>
    <row r="52" spans="4:4">
      <c r="D52" s="227"/>
    </row>
    <row r="53" spans="4:4">
      <c r="D53" s="227"/>
    </row>
    <row r="54" spans="4:4">
      <c r="D54" s="227"/>
    </row>
    <row r="55" spans="4:4">
      <c r="D55" s="227"/>
    </row>
    <row r="56" spans="4:4">
      <c r="D56" s="227"/>
    </row>
    <row r="57" spans="4:4">
      <c r="D57" s="227"/>
    </row>
    <row r="58" spans="4:4">
      <c r="D58" s="227"/>
    </row>
    <row r="59" spans="4:4">
      <c r="D59" s="227"/>
    </row>
    <row r="60" spans="4:4">
      <c r="D60" s="227"/>
    </row>
    <row r="61" spans="4:4">
      <c r="D61" s="227"/>
    </row>
    <row r="62" spans="4:4">
      <c r="D62" s="227"/>
    </row>
    <row r="63" spans="4:4">
      <c r="D63" s="227"/>
    </row>
    <row r="64" spans="4:4">
      <c r="D64" s="227"/>
    </row>
    <row r="65" spans="4:4">
      <c r="D65" s="227"/>
    </row>
    <row r="66" spans="4:4">
      <c r="D66" s="227"/>
    </row>
    <row r="67" spans="4:4">
      <c r="D67" s="227"/>
    </row>
    <row r="68" spans="4:4">
      <c r="D68" s="227"/>
    </row>
    <row r="69" spans="4:4">
      <c r="D69" s="227"/>
    </row>
    <row r="70" spans="4:4">
      <c r="D70" s="227"/>
    </row>
    <row r="71" spans="4:4">
      <c r="D71" s="227"/>
    </row>
    <row r="72" spans="4:4">
      <c r="D72" s="227"/>
    </row>
    <row r="73" spans="4:4">
      <c r="D73" s="227"/>
    </row>
    <row r="74" spans="4:4">
      <c r="D74" s="227"/>
    </row>
    <row r="75" spans="4:4">
      <c r="D75" s="227"/>
    </row>
    <row r="76" spans="4:4">
      <c r="D76" s="227"/>
    </row>
    <row r="77" spans="4:4">
      <c r="D77" s="227"/>
    </row>
    <row r="78" spans="4:4">
      <c r="D78" s="227"/>
    </row>
    <row r="79" spans="4:4">
      <c r="D79" s="227"/>
    </row>
    <row r="80" spans="4:4">
      <c r="D80" s="227"/>
    </row>
    <row r="81" spans="4:4">
      <c r="D81" s="227"/>
    </row>
    <row r="82" spans="4:4">
      <c r="D82" s="227"/>
    </row>
    <row r="83" spans="4:4">
      <c r="D83" s="227"/>
    </row>
    <row r="84" spans="4:4">
      <c r="D84" s="227"/>
    </row>
    <row r="85" spans="4:4">
      <c r="D85" s="227"/>
    </row>
    <row r="86" spans="4:4">
      <c r="D86" s="227"/>
    </row>
    <row r="87" spans="4:4">
      <c r="D87" s="227"/>
    </row>
    <row r="88" spans="4:4">
      <c r="D88" s="227"/>
    </row>
    <row r="89" spans="4:4">
      <c r="D89" s="227"/>
    </row>
    <row r="90" spans="4:4">
      <c r="D90" s="227"/>
    </row>
    <row r="91" spans="4:4">
      <c r="D91" s="227"/>
    </row>
    <row r="92" spans="4:4">
      <c r="D92" s="227"/>
    </row>
    <row r="93" spans="4:4">
      <c r="D93" s="227"/>
    </row>
    <row r="94" spans="4:4">
      <c r="D94" s="227"/>
    </row>
    <row r="95" spans="4:4">
      <c r="D95" s="227"/>
    </row>
    <row r="96" spans="4:4">
      <c r="D96" s="227"/>
    </row>
    <row r="97" spans="4:4">
      <c r="D97" s="227"/>
    </row>
    <row r="98" spans="4:4">
      <c r="D98" s="227"/>
    </row>
    <row r="99" spans="4:4">
      <c r="D99" s="227"/>
    </row>
    <row r="100" spans="4:4">
      <c r="D100" s="227"/>
    </row>
    <row r="101" spans="4:4">
      <c r="D101" s="227"/>
    </row>
    <row r="102" spans="4:4">
      <c r="D102" s="227"/>
    </row>
    <row r="103" spans="4:4">
      <c r="D103" s="227"/>
    </row>
    <row r="104" spans="4:4">
      <c r="D104" s="227"/>
    </row>
    <row r="105" spans="4:4">
      <c r="D105" s="227"/>
    </row>
    <row r="106" spans="4:4">
      <c r="D106" s="227"/>
    </row>
    <row r="107" spans="4:4">
      <c r="D107" s="227"/>
    </row>
    <row r="108" spans="4:4">
      <c r="D108" s="227"/>
    </row>
    <row r="109" spans="4:4">
      <c r="D109" s="227"/>
    </row>
    <row r="110" spans="4:4">
      <c r="D110" s="227"/>
    </row>
    <row r="111" spans="4:4">
      <c r="D111" s="227"/>
    </row>
    <row r="112" spans="4:4">
      <c r="D112" s="227"/>
    </row>
    <row r="113" spans="4:4">
      <c r="D113" s="227"/>
    </row>
    <row r="114" spans="4:4">
      <c r="D114" s="227"/>
    </row>
    <row r="115" spans="4:4">
      <c r="D115" s="227"/>
    </row>
    <row r="116" spans="4:4">
      <c r="D116" s="227"/>
    </row>
    <row r="117" spans="4:4">
      <c r="D117" s="227"/>
    </row>
    <row r="118" spans="4:4">
      <c r="D118" s="227"/>
    </row>
    <row r="119" spans="4:4">
      <c r="D119" s="227"/>
    </row>
    <row r="120" spans="4:4">
      <c r="D120" s="227"/>
    </row>
    <row r="121" spans="4:4">
      <c r="D121" s="227"/>
    </row>
    <row r="122" spans="4:4">
      <c r="D122" s="227"/>
    </row>
    <row r="123" spans="4:4">
      <c r="D123" s="227"/>
    </row>
    <row r="124" spans="4:4">
      <c r="D124" s="227"/>
    </row>
    <row r="125" spans="4:4">
      <c r="D125" s="227"/>
    </row>
    <row r="126" spans="4:4">
      <c r="D126" s="227"/>
    </row>
    <row r="127" spans="4:4">
      <c r="D127" s="227"/>
    </row>
    <row r="128" spans="4:4">
      <c r="D128" s="227"/>
    </row>
    <row r="129" spans="4:4">
      <c r="D129" s="227"/>
    </row>
    <row r="130" spans="4:4">
      <c r="D130" s="227"/>
    </row>
    <row r="131" spans="4:4">
      <c r="D131" s="227"/>
    </row>
    <row r="132" spans="4:4">
      <c r="D132" s="227"/>
    </row>
    <row r="133" spans="4:4">
      <c r="D133" s="227"/>
    </row>
    <row r="134" spans="4:4">
      <c r="D134" s="227"/>
    </row>
    <row r="135" spans="4:4">
      <c r="D135" s="227"/>
    </row>
    <row r="136" spans="4:4">
      <c r="D136" s="227"/>
    </row>
    <row r="137" spans="4:4">
      <c r="D137" s="227"/>
    </row>
    <row r="138" spans="4:4">
      <c r="D138" s="227"/>
    </row>
    <row r="139" spans="4:4">
      <c r="D139" s="227"/>
    </row>
    <row r="140" spans="4:4">
      <c r="D140" s="227"/>
    </row>
    <row r="141" spans="4:4">
      <c r="D141" s="227"/>
    </row>
    <row r="142" spans="4:4">
      <c r="D142" s="227"/>
    </row>
    <row r="143" spans="4:4">
      <c r="D143" s="227"/>
    </row>
    <row r="144" spans="4:4">
      <c r="D144" s="227"/>
    </row>
    <row r="145" spans="4:4">
      <c r="D145" s="227"/>
    </row>
    <row r="146" spans="4:4">
      <c r="D146" s="227"/>
    </row>
    <row r="147" spans="4:4">
      <c r="D147" s="227"/>
    </row>
    <row r="148" spans="4:4">
      <c r="D148" s="227"/>
    </row>
    <row r="149" spans="4:4">
      <c r="D149" s="227"/>
    </row>
    <row r="150" spans="4:4">
      <c r="D150" s="227"/>
    </row>
    <row r="151" spans="4:4">
      <c r="D151" s="227"/>
    </row>
    <row r="152" spans="4:4">
      <c r="D152" s="227"/>
    </row>
    <row r="153" spans="4:4">
      <c r="D153" s="227"/>
    </row>
    <row r="154" spans="4:4">
      <c r="D154" s="227"/>
    </row>
    <row r="155" spans="4:4">
      <c r="D155" s="227"/>
    </row>
    <row r="156" spans="4:4">
      <c r="D156" s="227"/>
    </row>
    <row r="157" spans="4:4">
      <c r="D157" s="227"/>
    </row>
    <row r="158" spans="4:4">
      <c r="D158" s="227"/>
    </row>
    <row r="159" spans="4:4">
      <c r="D159" s="227"/>
    </row>
    <row r="160" spans="4:4">
      <c r="D160" s="227"/>
    </row>
    <row r="161" spans="4:4">
      <c r="D161" s="227"/>
    </row>
    <row r="162" spans="4:4">
      <c r="D162" s="227"/>
    </row>
    <row r="163" spans="4:4">
      <c r="D163" s="227"/>
    </row>
    <row r="164" spans="4:4">
      <c r="D164" s="227"/>
    </row>
    <row r="165" spans="4:4">
      <c r="D165" s="227"/>
    </row>
    <row r="166" spans="4:4">
      <c r="D166" s="227"/>
    </row>
    <row r="167" spans="4:4">
      <c r="D167" s="227"/>
    </row>
    <row r="168" spans="4:4">
      <c r="D168" s="227"/>
    </row>
    <row r="169" spans="4:4">
      <c r="D169" s="227"/>
    </row>
    <row r="170" spans="4:4">
      <c r="D170" s="227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H28"/>
  <sheetViews>
    <sheetView zoomScale="80" zoomScaleNormal="80" workbookViewId="0">
      <selection activeCell="C7" sqref="C7"/>
    </sheetView>
  </sheetViews>
  <sheetFormatPr defaultColWidth="8.85546875" defaultRowHeight="15.75"/>
  <cols>
    <col min="1" max="1" width="5.140625" style="587" customWidth="1"/>
    <col min="2" max="2" width="89.85546875" style="4" bestFit="1" customWidth="1"/>
    <col min="3" max="3" width="10.42578125" style="4" customWidth="1"/>
    <col min="4" max="4" width="1.5703125" style="4" customWidth="1"/>
    <col min="5" max="5" width="16.85546875" style="4" customWidth="1"/>
    <col min="6" max="6" width="1.5703125" style="4" customWidth="1"/>
    <col min="7" max="7" width="43.42578125" style="4" customWidth="1"/>
    <col min="8" max="8" width="5.140625" style="587" customWidth="1"/>
    <col min="9" max="16384" width="8.85546875" style="4"/>
  </cols>
  <sheetData>
    <row r="2" spans="1:8">
      <c r="B2" s="1624" t="str">
        <f>'Summary of Cost Components'!B2:D2</f>
        <v>SAN DIEGO GAS &amp; ELECTRIC COMPANY</v>
      </c>
      <c r="C2" s="1624"/>
      <c r="D2" s="1624"/>
      <c r="E2" s="1624"/>
      <c r="F2" s="1624"/>
      <c r="G2" s="1624"/>
    </row>
    <row r="3" spans="1:8" ht="15.6" customHeight="1">
      <c r="B3" s="1624" t="str">
        <f>'Summary of Cost Components'!B3:D3</f>
        <v>CITIZENS' SHARE OF THE SX-PQ UNDERGROUND LINE SEGMENT</v>
      </c>
      <c r="C3" s="1624"/>
      <c r="D3" s="1624"/>
      <c r="E3" s="1624"/>
      <c r="F3" s="1624"/>
      <c r="G3" s="1624"/>
      <c r="H3" s="964"/>
    </row>
    <row r="4" spans="1:8">
      <c r="B4" s="1625" t="s">
        <v>274</v>
      </c>
      <c r="C4" s="1625"/>
      <c r="D4" s="1625"/>
      <c r="E4" s="1625"/>
      <c r="F4" s="1625"/>
      <c r="G4" s="1625"/>
      <c r="H4" s="963"/>
    </row>
    <row r="5" spans="1:8">
      <c r="B5" s="1626" t="str">
        <f>"Base Period &amp; True-Up Period 12 - Months Ending December 31, "&amp;Automation!B3</f>
        <v>Base Period &amp; True-Up Period 12 - Months Ending December 31, 2019</v>
      </c>
      <c r="C5" s="1626"/>
      <c r="D5" s="1626"/>
      <c r="E5" s="1626"/>
      <c r="F5" s="1626"/>
      <c r="G5" s="1626"/>
      <c r="H5" s="963"/>
    </row>
    <row r="6" spans="1:8">
      <c r="B6" s="1627" t="s">
        <v>2</v>
      </c>
      <c r="C6" s="1627"/>
      <c r="D6" s="1627"/>
      <c r="E6" s="1627"/>
      <c r="F6" s="1627"/>
      <c r="G6" s="1627"/>
      <c r="H6" s="965"/>
    </row>
    <row r="8" spans="1:8">
      <c r="A8" s="962" t="s">
        <v>3</v>
      </c>
      <c r="B8" s="75"/>
      <c r="C8" s="75"/>
      <c r="D8" s="75"/>
      <c r="E8" s="1180"/>
      <c r="F8" s="1180"/>
      <c r="G8" s="69"/>
      <c r="H8" s="962" t="s">
        <v>3</v>
      </c>
    </row>
    <row r="9" spans="1:8">
      <c r="A9" s="962" t="s">
        <v>24</v>
      </c>
      <c r="B9" s="75"/>
      <c r="C9" s="75"/>
      <c r="D9" s="75"/>
      <c r="E9" s="938" t="s">
        <v>123</v>
      </c>
      <c r="F9" s="68"/>
      <c r="G9" s="938" t="s">
        <v>8</v>
      </c>
      <c r="H9" s="962" t="s">
        <v>24</v>
      </c>
    </row>
    <row r="10" spans="1:8">
      <c r="A10" s="963"/>
      <c r="B10" s="69"/>
      <c r="C10" s="69"/>
      <c r="D10" s="69"/>
      <c r="E10" s="90"/>
      <c r="F10" s="68"/>
      <c r="G10" s="90"/>
      <c r="H10" s="959"/>
    </row>
    <row r="11" spans="1:8">
      <c r="A11" s="959">
        <v>1</v>
      </c>
      <c r="B11" s="21" t="s">
        <v>821</v>
      </c>
      <c r="C11" s="21"/>
      <c r="D11" s="21"/>
      <c r="E11" s="69"/>
      <c r="F11" s="69"/>
      <c r="G11" s="69"/>
      <c r="H11" s="959">
        <f>A11</f>
        <v>1</v>
      </c>
    </row>
    <row r="12" spans="1:8">
      <c r="A12" s="959">
        <f>A11+1</f>
        <v>2</v>
      </c>
      <c r="B12" s="90" t="s">
        <v>271</v>
      </c>
      <c r="C12" s="90"/>
      <c r="D12" s="90"/>
      <c r="E12" s="1011">
        <f>'Stmt AH'!E12</f>
        <v>0</v>
      </c>
      <c r="F12" s="69"/>
      <c r="G12" s="68" t="str">
        <f>"Statement AH; Line "&amp;'Stmt AH'!A12</f>
        <v>Statement AH; Line 2</v>
      </c>
      <c r="H12" s="959">
        <f>H11+1</f>
        <v>2</v>
      </c>
    </row>
    <row r="13" spans="1:8">
      <c r="A13" s="959">
        <f t="shared" ref="A13:A27" si="0">A12+1</f>
        <v>3</v>
      </c>
      <c r="B13" s="90" t="s">
        <v>272</v>
      </c>
      <c r="C13" s="90"/>
      <c r="D13" s="90"/>
      <c r="E13" s="1013">
        <v>0.13100000000000001</v>
      </c>
      <c r="F13" s="69"/>
      <c r="G13" s="69"/>
      <c r="H13" s="959">
        <f t="shared" ref="H13:H27" si="1">H12+1</f>
        <v>3</v>
      </c>
    </row>
    <row r="14" spans="1:8">
      <c r="A14" s="959">
        <f t="shared" si="0"/>
        <v>4</v>
      </c>
      <c r="B14" s="90" t="s">
        <v>771</v>
      </c>
      <c r="C14" s="90"/>
      <c r="D14" s="90"/>
      <c r="E14" s="1012">
        <f>E12*E13</f>
        <v>0</v>
      </c>
      <c r="F14" s="20"/>
      <c r="G14" s="68" t="str">
        <f>"Line "&amp;A12&amp;" x Line "&amp;A13</f>
        <v>Line 2 x Line 3</v>
      </c>
      <c r="H14" s="959">
        <f t="shared" si="1"/>
        <v>4</v>
      </c>
    </row>
    <row r="15" spans="1:8">
      <c r="A15" s="959">
        <f t="shared" si="0"/>
        <v>5</v>
      </c>
      <c r="B15" s="90"/>
      <c r="C15" s="90"/>
      <c r="D15" s="90"/>
      <c r="E15" s="967"/>
      <c r="F15" s="90"/>
      <c r="G15" s="68"/>
      <c r="H15" s="959">
        <f t="shared" si="1"/>
        <v>5</v>
      </c>
    </row>
    <row r="16" spans="1:8">
      <c r="A16" s="959">
        <f t="shared" si="0"/>
        <v>6</v>
      </c>
      <c r="B16" s="1186" t="s">
        <v>584</v>
      </c>
      <c r="C16" s="1186"/>
      <c r="D16" s="1186"/>
      <c r="E16" s="1013">
        <f>1/8</f>
        <v>0.125</v>
      </c>
      <c r="F16" s="69"/>
      <c r="G16" s="68" t="s">
        <v>211</v>
      </c>
      <c r="H16" s="959">
        <f t="shared" si="1"/>
        <v>6</v>
      </c>
    </row>
    <row r="17" spans="1:8">
      <c r="A17" s="959">
        <f t="shared" si="0"/>
        <v>7</v>
      </c>
      <c r="B17" s="90" t="s">
        <v>656</v>
      </c>
      <c r="C17" s="90"/>
      <c r="D17" s="90"/>
      <c r="E17" s="1012">
        <f>E14*E16</f>
        <v>0</v>
      </c>
      <c r="F17" s="20"/>
      <c r="G17" s="27" t="str">
        <f>"Line "&amp;A14&amp;" x Line "&amp;A16</f>
        <v>Line 4 x Line 6</v>
      </c>
      <c r="H17" s="959">
        <f t="shared" si="1"/>
        <v>7</v>
      </c>
    </row>
    <row r="18" spans="1:8">
      <c r="A18" s="959">
        <f t="shared" si="0"/>
        <v>8</v>
      </c>
      <c r="B18" s="90"/>
      <c r="C18" s="90"/>
      <c r="D18" s="90"/>
      <c r="E18" s="967"/>
      <c r="F18" s="90"/>
      <c r="G18" s="27"/>
      <c r="H18" s="959">
        <f t="shared" si="1"/>
        <v>8</v>
      </c>
    </row>
    <row r="19" spans="1:8">
      <c r="A19" s="959">
        <f t="shared" si="0"/>
        <v>9</v>
      </c>
      <c r="B19" s="914" t="s">
        <v>818</v>
      </c>
      <c r="C19" s="914"/>
      <c r="D19" s="914"/>
      <c r="E19" s="1014">
        <f>'Stmt AV'!G110</f>
        <v>0.10404975937221624</v>
      </c>
      <c r="F19" s="69"/>
      <c r="G19" s="33" t="str">
        <f>"Statement AV2; Line "&amp;'Stmt AV'!A110</f>
        <v>Statement AV2; Line 31</v>
      </c>
      <c r="H19" s="959">
        <f t="shared" si="1"/>
        <v>9</v>
      </c>
    </row>
    <row r="20" spans="1:8">
      <c r="A20" s="959">
        <f t="shared" si="0"/>
        <v>10</v>
      </c>
      <c r="B20" s="90"/>
      <c r="C20" s="90"/>
      <c r="D20" s="90"/>
      <c r="E20" s="967"/>
      <c r="F20" s="90"/>
      <c r="G20" s="68"/>
      <c r="H20" s="959">
        <f t="shared" si="1"/>
        <v>10</v>
      </c>
    </row>
    <row r="21" spans="1:8">
      <c r="A21" s="959">
        <f t="shared" si="0"/>
        <v>11</v>
      </c>
      <c r="B21" s="90" t="s">
        <v>868</v>
      </c>
      <c r="C21" s="90"/>
      <c r="D21" s="90"/>
      <c r="E21" s="1015">
        <f>E19*E17</f>
        <v>0</v>
      </c>
      <c r="F21" s="862"/>
      <c r="G21" s="27" t="str">
        <f>"Line "&amp;A17&amp;" x Line "&amp;A19</f>
        <v>Line 7 x Line 9</v>
      </c>
      <c r="H21" s="959">
        <f t="shared" si="1"/>
        <v>11</v>
      </c>
    </row>
    <row r="22" spans="1:8">
      <c r="A22" s="959">
        <f t="shared" si="0"/>
        <v>12</v>
      </c>
      <c r="B22" s="90"/>
      <c r="C22" s="90"/>
      <c r="D22" s="90"/>
      <c r="E22" s="967"/>
      <c r="F22" s="90"/>
      <c r="G22" s="68"/>
      <c r="H22" s="959">
        <f t="shared" si="1"/>
        <v>12</v>
      </c>
    </row>
    <row r="23" spans="1:8">
      <c r="A23" s="959">
        <f t="shared" si="0"/>
        <v>13</v>
      </c>
      <c r="B23" s="90" t="s">
        <v>870</v>
      </c>
      <c r="C23" s="90"/>
      <c r="D23" s="90"/>
      <c r="E23" s="1016">
        <f>E21+E14</f>
        <v>0</v>
      </c>
      <c r="F23" s="862"/>
      <c r="G23" s="27" t="str">
        <f>"Line "&amp;A14&amp;" + Line "&amp;A21</f>
        <v>Line 4 + Line 11</v>
      </c>
      <c r="H23" s="959">
        <f t="shared" si="1"/>
        <v>13</v>
      </c>
    </row>
    <row r="24" spans="1:8">
      <c r="A24" s="959">
        <f t="shared" si="0"/>
        <v>14</v>
      </c>
      <c r="B24" s="90"/>
      <c r="C24" s="90"/>
      <c r="D24" s="90"/>
      <c r="E24" s="1017"/>
      <c r="F24" s="28"/>
      <c r="G24" s="68"/>
      <c r="H24" s="959">
        <f t="shared" si="1"/>
        <v>14</v>
      </c>
    </row>
    <row r="25" spans="1:8">
      <c r="A25" s="959">
        <f t="shared" si="0"/>
        <v>15</v>
      </c>
      <c r="B25" s="90" t="s">
        <v>820</v>
      </c>
      <c r="C25" s="1020">
        <v>1.0274999999999999E-2</v>
      </c>
      <c r="D25" s="90"/>
      <c r="E25" s="1015">
        <f>E23*C25</f>
        <v>0</v>
      </c>
      <c r="F25" s="862"/>
      <c r="G25" s="27" t="str">
        <f>"Line "&amp;A23&amp;" x Franchise Fee Rate"</f>
        <v>Line 13 x Franchise Fee Rate</v>
      </c>
      <c r="H25" s="959">
        <f t="shared" si="1"/>
        <v>15</v>
      </c>
    </row>
    <row r="26" spans="1:8">
      <c r="A26" s="959">
        <f t="shared" si="0"/>
        <v>16</v>
      </c>
      <c r="B26" s="90"/>
      <c r="C26" s="90"/>
      <c r="D26" s="90"/>
      <c r="E26" s="1018"/>
      <c r="F26" s="29"/>
      <c r="G26" s="68"/>
      <c r="H26" s="959">
        <f t="shared" si="1"/>
        <v>16</v>
      </c>
    </row>
    <row r="27" spans="1:8" ht="16.5" thickBot="1">
      <c r="A27" s="959">
        <f t="shared" si="0"/>
        <v>17</v>
      </c>
      <c r="B27" s="69" t="s">
        <v>869</v>
      </c>
      <c r="C27" s="90"/>
      <c r="D27" s="90"/>
      <c r="E27" s="1019">
        <f>E25+E23</f>
        <v>0</v>
      </c>
      <c r="F27" s="933"/>
      <c r="G27" s="27" t="str">
        <f>"Line "&amp;A23&amp;" + Line "&amp;A25</f>
        <v>Line 13 + Line 15</v>
      </c>
      <c r="H27" s="959">
        <f t="shared" si="1"/>
        <v>17</v>
      </c>
    </row>
    <row r="28" spans="1:8" ht="16.5" thickTop="1"/>
  </sheetData>
  <mergeCells count="5">
    <mergeCell ref="B3:G3"/>
    <mergeCell ref="B4:G4"/>
    <mergeCell ref="B5:G5"/>
    <mergeCell ref="B6:G6"/>
    <mergeCell ref="B2:G2"/>
  </mergeCells>
  <printOptions horizontalCentered="1"/>
  <pageMargins left="0.5" right="0.5" top="0.5" bottom="0.5" header="0.25" footer="0.25"/>
  <pageSetup scale="54" orientation="portrait" r:id="rId1"/>
  <headerFooter scaleWithDoc="0">
    <oddFooter>&amp;C&amp;"Times New Roman,Regular"&amp;10Section 1
Page 1 of 1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D00EF-A3F7-4DF2-9C4D-715F6E1A6551}">
  <sheetPr>
    <pageSetUpPr fitToPage="1"/>
  </sheetPr>
  <dimension ref="A2:Z39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452" customWidth="1"/>
    <col min="2" max="2" width="35.140625" style="1453" customWidth="1"/>
    <col min="3" max="3" width="18.5703125" style="176" customWidth="1"/>
    <col min="4" max="4" width="25.140625" style="176" customWidth="1"/>
    <col min="5" max="5" width="18.5703125" style="1453" customWidth="1"/>
    <col min="6" max="6" width="62.5703125" style="1453" customWidth="1"/>
    <col min="7" max="7" width="5.140625" style="1452" customWidth="1"/>
    <col min="8" max="8" width="24" style="1453" customWidth="1"/>
    <col min="9" max="9" width="11" style="1453" customWidth="1"/>
    <col min="10" max="10" width="7.140625" style="1453" customWidth="1"/>
    <col min="11" max="11" width="9.140625" style="1453" customWidth="1"/>
    <col min="12" max="12" width="14" style="1453" customWidth="1"/>
    <col min="13" max="13" width="13.42578125" style="1453" customWidth="1"/>
    <col min="14" max="16384" width="9.140625" style="1453"/>
  </cols>
  <sheetData>
    <row r="2" spans="1:8">
      <c r="B2" s="1642" t="s">
        <v>17</v>
      </c>
      <c r="C2" s="1642"/>
      <c r="D2" s="1642"/>
      <c r="E2" s="1642"/>
      <c r="F2" s="1642"/>
    </row>
    <row r="3" spans="1:8">
      <c r="B3" s="1642" t="s">
        <v>18</v>
      </c>
      <c r="C3" s="1642"/>
      <c r="D3" s="1642"/>
      <c r="E3" s="1642"/>
      <c r="F3" s="1642"/>
    </row>
    <row r="4" spans="1:8">
      <c r="B4" s="1642" t="s">
        <v>19</v>
      </c>
      <c r="C4" s="1642"/>
      <c r="D4" s="1642"/>
      <c r="E4" s="1642"/>
      <c r="F4" s="1642"/>
    </row>
    <row r="5" spans="1:8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  <c r="F5" s="1642"/>
      <c r="H5" s="200"/>
    </row>
    <row r="6" spans="1:8">
      <c r="B6" s="1647" t="s">
        <v>2</v>
      </c>
      <c r="C6" s="1647"/>
      <c r="D6" s="1647"/>
      <c r="E6" s="1647"/>
      <c r="F6" s="1647"/>
    </row>
    <row r="7" spans="1:8">
      <c r="B7" s="172"/>
      <c r="C7" s="173"/>
      <c r="D7" s="173"/>
      <c r="E7" s="172"/>
      <c r="F7" s="172"/>
    </row>
    <row r="8" spans="1:8">
      <c r="B8" s="1642" t="s">
        <v>886</v>
      </c>
      <c r="C8" s="1648"/>
      <c r="D8" s="1648"/>
      <c r="E8" s="1648"/>
      <c r="F8" s="1648"/>
    </row>
    <row r="10" spans="1:8">
      <c r="B10" s="1464"/>
      <c r="C10" s="1465" t="s">
        <v>30</v>
      </c>
      <c r="D10" s="1466"/>
      <c r="E10" s="1465"/>
      <c r="F10" s="1466"/>
    </row>
    <row r="11" spans="1:8">
      <c r="B11" s="182"/>
      <c r="C11" s="190" t="s">
        <v>887</v>
      </c>
      <c r="D11" s="182"/>
      <c r="E11" s="190" t="s">
        <v>887</v>
      </c>
      <c r="F11" s="182"/>
    </row>
    <row r="12" spans="1:8">
      <c r="A12" s="1457"/>
      <c r="B12" s="189"/>
      <c r="C12" s="183" t="s">
        <v>58</v>
      </c>
      <c r="D12" s="182"/>
      <c r="E12" s="190" t="s">
        <v>888</v>
      </c>
      <c r="F12" s="182"/>
      <c r="G12" s="1457"/>
    </row>
    <row r="13" spans="1:8">
      <c r="A13" s="1457" t="s">
        <v>3</v>
      </c>
      <c r="B13" s="189"/>
      <c r="C13" s="183" t="s">
        <v>56</v>
      </c>
      <c r="D13" s="184"/>
      <c r="E13" s="190" t="s">
        <v>56</v>
      </c>
      <c r="F13" s="184"/>
      <c r="G13" s="1457" t="s">
        <v>3</v>
      </c>
    </row>
    <row r="14" spans="1:8">
      <c r="A14" s="1457" t="s">
        <v>24</v>
      </c>
      <c r="B14" s="1467" t="s">
        <v>22</v>
      </c>
      <c r="C14" s="1468" t="s">
        <v>34</v>
      </c>
      <c r="D14" s="1469" t="s">
        <v>8</v>
      </c>
      <c r="E14" s="194" t="s">
        <v>33</v>
      </c>
      <c r="F14" s="1469" t="s">
        <v>8</v>
      </c>
      <c r="G14" s="1457" t="s">
        <v>24</v>
      </c>
    </row>
    <row r="15" spans="1:8">
      <c r="A15" s="1457">
        <v>1</v>
      </c>
      <c r="B15" s="195" t="str">
        <f>"Dec-"&amp;RIGHT(Automation!$B$3-1,2)</f>
        <v>Dec-18</v>
      </c>
      <c r="C15" s="233">
        <v>0</v>
      </c>
      <c r="D15" s="197" t="s">
        <v>415</v>
      </c>
      <c r="E15" s="1470">
        <v>0</v>
      </c>
      <c r="F15" s="197" t="s">
        <v>415</v>
      </c>
      <c r="G15" s="1457">
        <f>A15</f>
        <v>1</v>
      </c>
      <c r="H15" s="200"/>
    </row>
    <row r="16" spans="1:8">
      <c r="A16" s="1457">
        <f>A15+1</f>
        <v>2</v>
      </c>
      <c r="B16" s="195" t="str">
        <f>"Jan-"&amp;RIGHT(Automation!$B$3,2)</f>
        <v>Jan-19</v>
      </c>
      <c r="C16" s="234">
        <v>0</v>
      </c>
      <c r="D16" s="204"/>
      <c r="E16" s="1471">
        <v>0</v>
      </c>
      <c r="F16" s="204"/>
      <c r="G16" s="1457">
        <f>G15+1</f>
        <v>2</v>
      </c>
      <c r="H16" s="200"/>
    </row>
    <row r="17" spans="1:26">
      <c r="A17" s="1457">
        <f t="shared" ref="A17:A33" si="0">A16+1</f>
        <v>3</v>
      </c>
      <c r="B17" s="195" t="s">
        <v>35</v>
      </c>
      <c r="C17" s="234">
        <v>0</v>
      </c>
      <c r="D17" s="204"/>
      <c r="E17" s="1471">
        <v>0</v>
      </c>
      <c r="F17" s="204"/>
      <c r="G17" s="1457">
        <f t="shared" ref="G17:G33" si="1">G16+1</f>
        <v>3</v>
      </c>
      <c r="H17" s="231"/>
    </row>
    <row r="18" spans="1:26">
      <c r="A18" s="1457">
        <f t="shared" si="0"/>
        <v>4</v>
      </c>
      <c r="B18" s="195" t="s">
        <v>36</v>
      </c>
      <c r="C18" s="234">
        <v>0</v>
      </c>
      <c r="D18" s="204"/>
      <c r="E18" s="1471">
        <v>0</v>
      </c>
      <c r="F18" s="204"/>
      <c r="G18" s="1457">
        <f t="shared" si="1"/>
        <v>4</v>
      </c>
      <c r="H18" s="231"/>
    </row>
    <row r="19" spans="1:26">
      <c r="A19" s="1457">
        <f t="shared" si="0"/>
        <v>5</v>
      </c>
      <c r="B19" s="195" t="s">
        <v>37</v>
      </c>
      <c r="C19" s="234">
        <v>0</v>
      </c>
      <c r="D19" s="204"/>
      <c r="E19" s="1471">
        <v>0</v>
      </c>
      <c r="F19" s="204"/>
      <c r="G19" s="1457">
        <f t="shared" si="1"/>
        <v>5</v>
      </c>
      <c r="H19" s="231"/>
    </row>
    <row r="20" spans="1:26">
      <c r="A20" s="1457">
        <f t="shared" si="0"/>
        <v>6</v>
      </c>
      <c r="B20" s="195" t="s">
        <v>38</v>
      </c>
      <c r="C20" s="234">
        <v>0</v>
      </c>
      <c r="D20" s="204"/>
      <c r="E20" s="1471">
        <v>0</v>
      </c>
      <c r="F20" s="204"/>
      <c r="G20" s="1457">
        <f t="shared" si="1"/>
        <v>6</v>
      </c>
      <c r="H20" s="231"/>
    </row>
    <row r="21" spans="1:26">
      <c r="A21" s="1457">
        <f>A20+1</f>
        <v>7</v>
      </c>
      <c r="B21" s="195" t="s">
        <v>39</v>
      </c>
      <c r="C21" s="234">
        <v>0</v>
      </c>
      <c r="D21" s="204"/>
      <c r="E21" s="1471">
        <v>0</v>
      </c>
      <c r="F21" s="204"/>
      <c r="G21" s="1457">
        <f>G20+1</f>
        <v>7</v>
      </c>
      <c r="H21" s="231"/>
    </row>
    <row r="22" spans="1:26">
      <c r="A22" s="1457">
        <f t="shared" si="0"/>
        <v>8</v>
      </c>
      <c r="B22" s="195" t="s">
        <v>40</v>
      </c>
      <c r="C22" s="234">
        <v>0</v>
      </c>
      <c r="D22" s="204"/>
      <c r="E22" s="1471">
        <v>0</v>
      </c>
      <c r="F22" s="204"/>
      <c r="G22" s="1457">
        <f t="shared" si="1"/>
        <v>8</v>
      </c>
      <c r="H22" s="231"/>
    </row>
    <row r="23" spans="1:26">
      <c r="A23" s="1457">
        <f t="shared" si="0"/>
        <v>9</v>
      </c>
      <c r="B23" s="195" t="s">
        <v>41</v>
      </c>
      <c r="C23" s="234">
        <v>0</v>
      </c>
      <c r="D23" s="204"/>
      <c r="E23" s="1471">
        <v>0</v>
      </c>
      <c r="F23" s="204"/>
      <c r="G23" s="1457">
        <f t="shared" si="1"/>
        <v>9</v>
      </c>
      <c r="H23" s="231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</row>
    <row r="24" spans="1:26">
      <c r="A24" s="1457">
        <f t="shared" si="0"/>
        <v>10</v>
      </c>
      <c r="B24" s="195" t="s">
        <v>42</v>
      </c>
      <c r="C24" s="234">
        <v>0</v>
      </c>
      <c r="D24" s="204"/>
      <c r="E24" s="1471">
        <v>0</v>
      </c>
      <c r="F24" s="204"/>
      <c r="G24" s="1457">
        <f t="shared" si="1"/>
        <v>10</v>
      </c>
      <c r="H24" s="231"/>
    </row>
    <row r="25" spans="1:26">
      <c r="A25" s="1457">
        <f t="shared" si="0"/>
        <v>11</v>
      </c>
      <c r="B25" s="195" t="s">
        <v>43</v>
      </c>
      <c r="C25" s="234">
        <v>0</v>
      </c>
      <c r="D25" s="204"/>
      <c r="E25" s="1471">
        <v>0</v>
      </c>
      <c r="F25" s="204"/>
      <c r="G25" s="1457">
        <f t="shared" si="1"/>
        <v>11</v>
      </c>
      <c r="H25" s="231"/>
    </row>
    <row r="26" spans="1:26">
      <c r="A26" s="1457">
        <f t="shared" si="0"/>
        <v>12</v>
      </c>
      <c r="B26" s="195" t="s">
        <v>44</v>
      </c>
      <c r="C26" s="234">
        <v>0</v>
      </c>
      <c r="D26" s="204"/>
      <c r="E26" s="1471">
        <v>0</v>
      </c>
      <c r="F26" s="204"/>
      <c r="G26" s="1457">
        <f t="shared" si="1"/>
        <v>12</v>
      </c>
      <c r="H26" s="231"/>
    </row>
    <row r="27" spans="1:26">
      <c r="A27" s="1457">
        <f t="shared" si="0"/>
        <v>13</v>
      </c>
      <c r="B27" s="1472" t="str">
        <f>"Dec-"&amp;RIGHT(Automation!$B$3,2)</f>
        <v>Dec-19</v>
      </c>
      <c r="C27" s="1473">
        <v>0</v>
      </c>
      <c r="D27" s="1474" t="s">
        <v>415</v>
      </c>
      <c r="E27" s="1475">
        <v>0</v>
      </c>
      <c r="F27" s="1474" t="s">
        <v>415</v>
      </c>
      <c r="G27" s="1457">
        <f t="shared" si="1"/>
        <v>13</v>
      </c>
      <c r="H27" s="200"/>
    </row>
    <row r="28" spans="1:26">
      <c r="A28" s="1457">
        <f t="shared" si="0"/>
        <v>14</v>
      </c>
      <c r="B28" s="209"/>
      <c r="C28" s="1476"/>
      <c r="D28" s="248"/>
      <c r="E28" s="237"/>
      <c r="F28" s="1477"/>
      <c r="G28" s="1457">
        <f t="shared" si="1"/>
        <v>14</v>
      </c>
      <c r="H28" s="231"/>
    </row>
    <row r="29" spans="1:26">
      <c r="A29" s="1457">
        <f t="shared" si="0"/>
        <v>15</v>
      </c>
      <c r="B29" s="209" t="s">
        <v>45</v>
      </c>
      <c r="C29" s="238">
        <f>SUM(C15:C27)</f>
        <v>0</v>
      </c>
      <c r="D29" s="857" t="str">
        <f>"Sum Lines "&amp;A15&amp;" thru "&amp;A27</f>
        <v>Sum Lines 1 thru 13</v>
      </c>
      <c r="E29" s="238">
        <f>SUM(E15:E27)</f>
        <v>0</v>
      </c>
      <c r="F29" s="856" t="str">
        <f>"Sum Lines "&amp;A15&amp;" thru "&amp;A27</f>
        <v>Sum Lines 1 thru 13</v>
      </c>
      <c r="G29" s="1457">
        <f t="shared" si="1"/>
        <v>15</v>
      </c>
      <c r="H29" s="231"/>
    </row>
    <row r="30" spans="1:26">
      <c r="A30" s="1457">
        <f t="shared" si="0"/>
        <v>16</v>
      </c>
      <c r="B30" s="1478"/>
      <c r="C30" s="239"/>
      <c r="D30" s="1479"/>
      <c r="E30" s="239"/>
      <c r="F30" s="1480"/>
      <c r="G30" s="1457">
        <f t="shared" si="1"/>
        <v>16</v>
      </c>
      <c r="H30" s="231"/>
    </row>
    <row r="31" spans="1:26">
      <c r="A31" s="1457">
        <f t="shared" si="0"/>
        <v>17</v>
      </c>
      <c r="B31" s="209"/>
      <c r="C31" s="237"/>
      <c r="D31" s="250"/>
      <c r="E31" s="237"/>
      <c r="F31" s="1481"/>
      <c r="G31" s="1457">
        <f t="shared" si="1"/>
        <v>17</v>
      </c>
      <c r="H31" s="231"/>
    </row>
    <row r="32" spans="1:26">
      <c r="A32" s="1457">
        <f t="shared" si="0"/>
        <v>18</v>
      </c>
      <c r="B32" s="209" t="s">
        <v>46</v>
      </c>
      <c r="C32" s="254">
        <f>C29/13</f>
        <v>0</v>
      </c>
      <c r="D32" s="857" t="str">
        <f>"Average of Lines "&amp;A15&amp;" thru "&amp;A27</f>
        <v>Average of Lines 1 thru 13</v>
      </c>
      <c r="E32" s="254">
        <f>E29/13</f>
        <v>0</v>
      </c>
      <c r="F32" s="856" t="str">
        <f>"Average of Lines "&amp;A15&amp;" thru "&amp;A27</f>
        <v>Average of Lines 1 thru 13</v>
      </c>
      <c r="G32" s="1457">
        <f t="shared" si="1"/>
        <v>18</v>
      </c>
      <c r="H32" s="231"/>
    </row>
    <row r="33" spans="1:8">
      <c r="A33" s="1457">
        <f t="shared" si="0"/>
        <v>19</v>
      </c>
      <c r="B33" s="1478"/>
      <c r="C33" s="239"/>
      <c r="D33" s="1482"/>
      <c r="E33" s="239"/>
      <c r="F33" s="1480"/>
      <c r="G33" s="1457">
        <f t="shared" si="1"/>
        <v>19</v>
      </c>
      <c r="H33" s="231"/>
    </row>
    <row r="34" spans="1:8">
      <c r="B34" s="1340"/>
      <c r="C34" s="240"/>
      <c r="D34" s="240"/>
      <c r="E34" s="240"/>
      <c r="F34" s="242"/>
      <c r="G34" s="1483"/>
      <c r="H34" s="231"/>
    </row>
    <row r="35" spans="1:8">
      <c r="B35" s="287"/>
      <c r="C35" s="242"/>
      <c r="D35" s="242"/>
      <c r="E35" s="242"/>
      <c r="F35" s="242"/>
      <c r="G35" s="975"/>
      <c r="H35" s="231"/>
    </row>
    <row r="36" spans="1:8">
      <c r="B36" s="1340"/>
      <c r="C36" s="242"/>
      <c r="D36" s="242"/>
      <c r="E36" s="242"/>
      <c r="F36" s="242"/>
      <c r="G36" s="975"/>
      <c r="H36" s="231"/>
    </row>
    <row r="37" spans="1:8">
      <c r="B37" s="1340"/>
      <c r="C37" s="242"/>
      <c r="D37" s="242"/>
      <c r="E37" s="242"/>
      <c r="F37" s="242"/>
      <c r="G37" s="975"/>
      <c r="H37" s="231"/>
    </row>
    <row r="38" spans="1:8">
      <c r="B38" s="1340"/>
      <c r="C38" s="242"/>
      <c r="D38" s="242"/>
      <c r="E38" s="242"/>
      <c r="F38" s="242"/>
      <c r="G38" s="975"/>
      <c r="H38" s="231"/>
    </row>
    <row r="39" spans="1:8">
      <c r="C39" s="243"/>
      <c r="D39" s="243"/>
      <c r="E39" s="231"/>
      <c r="F39" s="231"/>
      <c r="G39" s="975"/>
      <c r="H39" s="231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2:L41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0" customWidth="1"/>
    <col min="4" max="4" width="62.5703125" style="170" customWidth="1"/>
    <col min="5" max="5" width="5.140625" style="915" customWidth="1"/>
    <col min="6" max="6" width="11" style="170" customWidth="1"/>
    <col min="7" max="7" width="7.140625" style="170" customWidth="1"/>
    <col min="8" max="8" width="9.140625" style="170" customWidth="1"/>
    <col min="9" max="9" width="14" style="170" customWidth="1"/>
    <col min="10" max="10" width="13.42578125" style="170" customWidth="1"/>
    <col min="11" max="16384" width="9.140625" style="170"/>
  </cols>
  <sheetData>
    <row r="2" spans="1:6">
      <c r="B2" s="1642" t="s">
        <v>17</v>
      </c>
      <c r="C2" s="1642"/>
      <c r="D2" s="1642"/>
    </row>
    <row r="3" spans="1:6">
      <c r="B3" s="1642" t="s">
        <v>18</v>
      </c>
      <c r="C3" s="1642"/>
      <c r="D3" s="1642"/>
    </row>
    <row r="4" spans="1:6">
      <c r="B4" s="1642" t="s">
        <v>19</v>
      </c>
      <c r="C4" s="1642"/>
      <c r="D4" s="1642"/>
    </row>
    <row r="5" spans="1:6">
      <c r="B5" s="1642" t="str">
        <f>"BASE PERIOD / TRUE UP PERIOD - 12/31/"&amp;Automation!$B$3&amp;" PER BOOK"</f>
        <v>BASE PERIOD / TRUE UP PERIOD - 12/31/2019 PER BOOK</v>
      </c>
      <c r="C5" s="1642"/>
      <c r="D5" s="1642"/>
    </row>
    <row r="6" spans="1:6">
      <c r="B6" s="1647" t="s">
        <v>2</v>
      </c>
      <c r="C6" s="1647"/>
      <c r="D6" s="1647"/>
    </row>
    <row r="7" spans="1:6">
      <c r="B7" s="172"/>
      <c r="C7" s="172"/>
      <c r="D7" s="172"/>
    </row>
    <row r="8" spans="1:6">
      <c r="B8" s="1642" t="s">
        <v>20</v>
      </c>
      <c r="C8" s="1642"/>
      <c r="D8" s="1642"/>
    </row>
    <row r="10" spans="1:6">
      <c r="B10" s="349"/>
      <c r="C10" s="350" t="s">
        <v>21</v>
      </c>
      <c r="D10" s="351"/>
      <c r="E10" s="919"/>
    </row>
    <row r="11" spans="1:6">
      <c r="A11" s="187" t="s">
        <v>3</v>
      </c>
      <c r="B11" s="304"/>
      <c r="C11" s="182" t="s">
        <v>23</v>
      </c>
      <c r="D11" s="352"/>
      <c r="E11" s="919" t="s">
        <v>3</v>
      </c>
    </row>
    <row r="12" spans="1:6">
      <c r="A12" s="187" t="s">
        <v>24</v>
      </c>
      <c r="B12" s="353" t="s">
        <v>22</v>
      </c>
      <c r="C12" s="191" t="s">
        <v>25</v>
      </c>
      <c r="D12" s="194" t="s">
        <v>8</v>
      </c>
      <c r="E12" s="919" t="s">
        <v>24</v>
      </c>
    </row>
    <row r="13" spans="1:6">
      <c r="A13" s="266"/>
      <c r="B13" s="354"/>
      <c r="C13" s="355"/>
      <c r="D13" s="356"/>
      <c r="E13" s="266"/>
    </row>
    <row r="14" spans="1:6">
      <c r="A14" s="187">
        <v>1</v>
      </c>
      <c r="B14" s="357" t="str">
        <f>"Dec-"&amp;RIGHT(Automation!$B$3-1,2)</f>
        <v>Dec-18</v>
      </c>
      <c r="C14" s="358">
        <v>180374.36829000001</v>
      </c>
      <c r="D14" s="908" t="s">
        <v>671</v>
      </c>
      <c r="E14" s="919">
        <f>A14</f>
        <v>1</v>
      </c>
      <c r="F14" s="200"/>
    </row>
    <row r="15" spans="1:6">
      <c r="A15" s="187">
        <f>A14+1</f>
        <v>2</v>
      </c>
      <c r="B15" s="359"/>
      <c r="C15" s="283"/>
      <c r="D15" s="360"/>
      <c r="E15" s="919">
        <f>E14+1</f>
        <v>2</v>
      </c>
    </row>
    <row r="16" spans="1:6">
      <c r="A16" s="187">
        <f t="shared" ref="A16:A20" si="0">A15+1</f>
        <v>3</v>
      </c>
      <c r="B16" s="357" t="str">
        <f>"Dec-"&amp;RIGHT(Automation!$B$3,2)</f>
        <v>Dec-19</v>
      </c>
      <c r="C16" s="324">
        <v>176890.08001999999</v>
      </c>
      <c r="D16" s="908" t="s">
        <v>669</v>
      </c>
      <c r="E16" s="919">
        <f t="shared" ref="E16:E20" si="1">E15+1</f>
        <v>3</v>
      </c>
      <c r="F16" s="200"/>
    </row>
    <row r="17" spans="1:12">
      <c r="A17" s="187">
        <f t="shared" si="0"/>
        <v>4</v>
      </c>
      <c r="B17" s="361"/>
      <c r="C17" s="362"/>
      <c r="D17" s="363"/>
      <c r="E17" s="919">
        <f t="shared" si="1"/>
        <v>4</v>
      </c>
    </row>
    <row r="18" spans="1:12">
      <c r="A18" s="187">
        <f t="shared" si="0"/>
        <v>5</v>
      </c>
      <c r="B18" s="349"/>
      <c r="C18" s="364"/>
      <c r="D18" s="365"/>
      <c r="E18" s="919">
        <f t="shared" si="1"/>
        <v>5</v>
      </c>
    </row>
    <row r="19" spans="1:12">
      <c r="A19" s="187">
        <f t="shared" si="0"/>
        <v>6</v>
      </c>
      <c r="B19" s="361" t="s">
        <v>26</v>
      </c>
      <c r="C19" s="366">
        <f>(C14+C16)/2</f>
        <v>178632.224155</v>
      </c>
      <c r="D19" s="367" t="str">
        <f>"Average of Line "&amp;A14&amp;" and Line "&amp;A16</f>
        <v>Average of Line 1 and Line 3</v>
      </c>
      <c r="E19" s="919">
        <f t="shared" si="1"/>
        <v>6</v>
      </c>
    </row>
    <row r="20" spans="1:12">
      <c r="A20" s="187">
        <f t="shared" si="0"/>
        <v>7</v>
      </c>
      <c r="B20" s="368"/>
      <c r="C20" s="369"/>
      <c r="D20" s="239"/>
      <c r="E20" s="919">
        <f t="shared" si="1"/>
        <v>7</v>
      </c>
    </row>
    <row r="21" spans="1:12">
      <c r="A21" s="187"/>
      <c r="B21" s="227"/>
      <c r="C21" s="370"/>
      <c r="D21" s="227"/>
      <c r="E21" s="919"/>
    </row>
    <row r="22" spans="1:12">
      <c r="B22" s="227"/>
      <c r="C22" s="227"/>
      <c r="D22" s="227"/>
      <c r="E22" s="919"/>
    </row>
    <row r="23" spans="1:12">
      <c r="B23" s="227"/>
      <c r="C23" s="227"/>
      <c r="D23" s="227"/>
      <c r="L23" s="205"/>
    </row>
    <row r="24" spans="1:12">
      <c r="B24" s="227"/>
      <c r="C24" s="227"/>
      <c r="D24" s="227"/>
    </row>
    <row r="25" spans="1:12">
      <c r="B25" s="227"/>
      <c r="C25" s="227"/>
      <c r="D25" s="227"/>
    </row>
    <row r="26" spans="1:12">
      <c r="B26" s="227"/>
      <c r="C26" s="227"/>
      <c r="D26" s="227"/>
    </row>
    <row r="27" spans="1:12">
      <c r="B27" s="227"/>
      <c r="C27" s="227"/>
      <c r="D27" s="227"/>
    </row>
    <row r="28" spans="1:12">
      <c r="B28" s="227"/>
      <c r="C28" s="227"/>
      <c r="D28" s="227"/>
    </row>
    <row r="29" spans="1:12">
      <c r="B29" s="227"/>
      <c r="C29" s="227"/>
      <c r="D29" s="227"/>
    </row>
    <row r="30" spans="1:12">
      <c r="B30" s="227"/>
      <c r="C30" s="227"/>
      <c r="D30" s="227"/>
    </row>
    <row r="31" spans="1:12">
      <c r="B31" s="227"/>
      <c r="C31" s="227"/>
      <c r="D31" s="227"/>
    </row>
    <row r="32" spans="1:12">
      <c r="B32" s="227"/>
      <c r="C32" s="227"/>
      <c r="D32" s="227"/>
    </row>
    <row r="33" spans="1:5">
      <c r="B33" s="227"/>
      <c r="C33" s="227"/>
      <c r="D33" s="227"/>
    </row>
    <row r="34" spans="1:5">
      <c r="B34" s="227"/>
      <c r="C34" s="227"/>
      <c r="D34" s="227"/>
    </row>
    <row r="35" spans="1:5" s="227" customFormat="1">
      <c r="A35" s="187"/>
      <c r="E35" s="919"/>
    </row>
    <row r="36" spans="1:5" s="227" customFormat="1">
      <c r="A36" s="187"/>
      <c r="E36" s="919"/>
    </row>
    <row r="37" spans="1:5" s="227" customFormat="1">
      <c r="A37" s="187"/>
      <c r="E37" s="919"/>
    </row>
    <row r="38" spans="1:5" s="227" customFormat="1">
      <c r="A38" s="187"/>
      <c r="E38" s="919"/>
    </row>
    <row r="39" spans="1:5" s="227" customFormat="1">
      <c r="A39" s="187"/>
      <c r="E39" s="919"/>
    </row>
    <row r="40" spans="1:5" s="227" customFormat="1">
      <c r="A40" s="187"/>
      <c r="E40" s="919"/>
    </row>
    <row r="41" spans="1:5" s="227" customFormat="1">
      <c r="A41" s="187"/>
      <c r="E41" s="9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L41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0" customWidth="1"/>
    <col min="4" max="4" width="62.5703125" style="170" customWidth="1"/>
    <col min="5" max="5" width="5.140625" style="915" customWidth="1"/>
    <col min="6" max="6" width="25.140625" style="170" customWidth="1"/>
    <col min="7" max="7" width="7.140625" style="170" customWidth="1"/>
    <col min="8" max="8" width="17.42578125" style="170" customWidth="1"/>
    <col min="9" max="9" width="14" style="170" customWidth="1"/>
    <col min="10" max="10" width="13.42578125" style="170" customWidth="1"/>
    <col min="11" max="16384" width="9.140625" style="170"/>
  </cols>
  <sheetData>
    <row r="2" spans="1:6">
      <c r="B2" s="1642" t="s">
        <v>17</v>
      </c>
      <c r="C2" s="1642"/>
      <c r="D2" s="1642"/>
    </row>
    <row r="3" spans="1:6">
      <c r="B3" s="1642" t="s">
        <v>18</v>
      </c>
      <c r="C3" s="1642"/>
      <c r="D3" s="1642"/>
    </row>
    <row r="4" spans="1:6">
      <c r="B4" s="1642" t="s">
        <v>19</v>
      </c>
      <c r="C4" s="1642"/>
      <c r="D4" s="1642"/>
    </row>
    <row r="5" spans="1:6">
      <c r="B5" s="1642" t="str">
        <f>"BASE PERIOD / TRUE UP PERIOD - 12/31/"&amp;Automation!$B$3&amp;" PER BOOK"</f>
        <v>BASE PERIOD / TRUE UP PERIOD - 12/31/2019 PER BOOK</v>
      </c>
      <c r="C5" s="1642"/>
      <c r="D5" s="1642"/>
    </row>
    <row r="6" spans="1:6">
      <c r="B6" s="1647" t="s">
        <v>2</v>
      </c>
      <c r="C6" s="1647"/>
      <c r="D6" s="1647"/>
    </row>
    <row r="7" spans="1:6">
      <c r="B7" s="172"/>
      <c r="C7" s="172"/>
      <c r="D7" s="172"/>
    </row>
    <row r="8" spans="1:6">
      <c r="B8" s="1642" t="s">
        <v>93</v>
      </c>
      <c r="C8" s="1642"/>
      <c r="D8" s="1642"/>
      <c r="E8" s="919"/>
    </row>
    <row r="9" spans="1:6">
      <c r="A9" s="187"/>
      <c r="E9" s="919"/>
    </row>
    <row r="10" spans="1:6">
      <c r="A10" s="187"/>
      <c r="B10" s="349"/>
      <c r="C10" s="350" t="s">
        <v>21</v>
      </c>
      <c r="D10" s="371"/>
      <c r="E10" s="919"/>
    </row>
    <row r="11" spans="1:6">
      <c r="A11" s="187" t="s">
        <v>3</v>
      </c>
      <c r="B11" s="304"/>
      <c r="C11" s="182" t="s">
        <v>94</v>
      </c>
      <c r="D11" s="298"/>
      <c r="E11" s="919" t="s">
        <v>3</v>
      </c>
    </row>
    <row r="12" spans="1:6">
      <c r="A12" s="187" t="s">
        <v>24</v>
      </c>
      <c r="B12" s="353" t="s">
        <v>22</v>
      </c>
      <c r="C12" s="191" t="s">
        <v>25</v>
      </c>
      <c r="D12" s="191" t="s">
        <v>8</v>
      </c>
      <c r="E12" s="919" t="s">
        <v>24</v>
      </c>
    </row>
    <row r="13" spans="1:6">
      <c r="A13" s="266"/>
      <c r="B13" s="354"/>
      <c r="C13" s="355"/>
      <c r="D13" s="373"/>
      <c r="E13" s="266"/>
    </row>
    <row r="14" spans="1:6">
      <c r="A14" s="187">
        <v>1</v>
      </c>
      <c r="B14" s="357" t="str">
        <f>"Dec-"&amp;RIGHT(Automation!$B$3-1,2)</f>
        <v>Dec-18</v>
      </c>
      <c r="C14" s="358">
        <v>429248.65587999998</v>
      </c>
      <c r="D14" s="270" t="s">
        <v>671</v>
      </c>
      <c r="E14" s="919">
        <f>A14</f>
        <v>1</v>
      </c>
      <c r="F14" s="200"/>
    </row>
    <row r="15" spans="1:6">
      <c r="A15" s="187">
        <f>A14+1</f>
        <v>2</v>
      </c>
      <c r="B15" s="359"/>
      <c r="C15" s="283"/>
      <c r="D15" s="283"/>
      <c r="E15" s="919">
        <f>E14+1</f>
        <v>2</v>
      </c>
    </row>
    <row r="16" spans="1:6">
      <c r="A16" s="187">
        <f t="shared" ref="A16:A20" si="0">A15+1</f>
        <v>3</v>
      </c>
      <c r="B16" s="357" t="str">
        <f>"Dec-"&amp;RIGHT(Automation!$B$3,2)</f>
        <v>Dec-19</v>
      </c>
      <c r="C16" s="324">
        <v>495491.8627</v>
      </c>
      <c r="D16" s="270" t="s">
        <v>669</v>
      </c>
      <c r="E16" s="919">
        <f t="shared" ref="E16:E20" si="1">E15+1</f>
        <v>3</v>
      </c>
      <c r="F16" s="200"/>
    </row>
    <row r="17" spans="1:12">
      <c r="A17" s="187">
        <f t="shared" si="0"/>
        <v>4</v>
      </c>
      <c r="B17" s="361"/>
      <c r="C17" s="362"/>
      <c r="D17" s="362"/>
      <c r="E17" s="919">
        <f t="shared" si="1"/>
        <v>4</v>
      </c>
    </row>
    <row r="18" spans="1:12">
      <c r="A18" s="187">
        <f t="shared" si="0"/>
        <v>5</v>
      </c>
      <c r="B18" s="349"/>
      <c r="C18" s="364"/>
      <c r="D18" s="373"/>
      <c r="E18" s="919">
        <f t="shared" si="1"/>
        <v>5</v>
      </c>
    </row>
    <row r="19" spans="1:12">
      <c r="A19" s="187">
        <f t="shared" si="0"/>
        <v>6</v>
      </c>
      <c r="B19" s="361" t="s">
        <v>26</v>
      </c>
      <c r="C19" s="375">
        <f>(C14+C16)/2</f>
        <v>462370.25928999996</v>
      </c>
      <c r="D19" s="376" t="str">
        <f>"Average of Line "&amp;A14&amp;" and Line "&amp;A16</f>
        <v>Average of Line 1 and Line 3</v>
      </c>
      <c r="E19" s="919">
        <f t="shared" si="1"/>
        <v>6</v>
      </c>
    </row>
    <row r="20" spans="1:12">
      <c r="A20" s="187">
        <f t="shared" si="0"/>
        <v>7</v>
      </c>
      <c r="B20" s="368"/>
      <c r="C20" s="377"/>
      <c r="D20" s="255"/>
      <c r="E20" s="919">
        <f t="shared" si="1"/>
        <v>7</v>
      </c>
    </row>
    <row r="21" spans="1:12">
      <c r="A21" s="187"/>
      <c r="B21" s="227"/>
      <c r="C21" s="370"/>
      <c r="D21" s="227"/>
      <c r="E21" s="919"/>
    </row>
    <row r="22" spans="1:12">
      <c r="B22" s="227"/>
      <c r="C22" s="227"/>
      <c r="D22" s="227"/>
    </row>
    <row r="23" spans="1:12">
      <c r="B23" s="227"/>
      <c r="C23" s="227"/>
      <c r="D23" s="227"/>
      <c r="L23" s="205"/>
    </row>
    <row r="24" spans="1:12">
      <c r="B24" s="227"/>
      <c r="C24" s="227"/>
      <c r="D24" s="227"/>
    </row>
    <row r="25" spans="1:12">
      <c r="B25" s="227"/>
      <c r="C25" s="227"/>
      <c r="D25" s="227"/>
    </row>
    <row r="26" spans="1:12">
      <c r="B26" s="227"/>
      <c r="C26" s="227"/>
      <c r="D26" s="227"/>
    </row>
    <row r="27" spans="1:12">
      <c r="B27" s="227"/>
      <c r="D27" s="227"/>
    </row>
    <row r="28" spans="1:12">
      <c r="B28" s="227"/>
      <c r="C28" s="227"/>
      <c r="D28" s="227"/>
    </row>
    <row r="29" spans="1:12">
      <c r="B29" s="227"/>
      <c r="C29" s="227"/>
      <c r="D29" s="227"/>
    </row>
    <row r="30" spans="1:12">
      <c r="B30" s="227"/>
      <c r="C30" s="227"/>
      <c r="D30" s="227"/>
    </row>
    <row r="31" spans="1:12">
      <c r="B31" s="227"/>
      <c r="C31" s="227"/>
      <c r="D31" s="227"/>
    </row>
    <row r="32" spans="1:12">
      <c r="B32" s="227"/>
      <c r="C32" s="227"/>
      <c r="D32" s="227"/>
    </row>
    <row r="33" spans="1:5">
      <c r="B33" s="227"/>
      <c r="C33" s="227"/>
      <c r="D33" s="227"/>
    </row>
    <row r="34" spans="1:5">
      <c r="B34" s="227"/>
      <c r="C34" s="227"/>
      <c r="D34" s="227"/>
    </row>
    <row r="35" spans="1:5" s="227" customFormat="1">
      <c r="A35" s="187"/>
      <c r="E35" s="919"/>
    </row>
    <row r="36" spans="1:5" s="227" customFormat="1">
      <c r="A36" s="187"/>
      <c r="E36" s="919"/>
    </row>
    <row r="37" spans="1:5" s="227" customFormat="1">
      <c r="A37" s="187"/>
      <c r="E37" s="919"/>
    </row>
    <row r="38" spans="1:5" s="227" customFormat="1">
      <c r="A38" s="187"/>
      <c r="E38" s="919"/>
    </row>
    <row r="39" spans="1:5" s="227" customFormat="1">
      <c r="A39" s="187"/>
      <c r="E39" s="919"/>
    </row>
    <row r="40" spans="1:5" s="227" customFormat="1">
      <c r="A40" s="187"/>
      <c r="E40" s="919"/>
    </row>
    <row r="41" spans="1:5" s="227" customFormat="1">
      <c r="A41" s="187"/>
      <c r="E41" s="9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L26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71" customWidth="1"/>
    <col min="2" max="2" width="8.5703125" style="582" customWidth="1"/>
    <col min="3" max="3" width="41.140625" style="582" customWidth="1"/>
    <col min="4" max="4" width="18.5703125" style="582" customWidth="1"/>
    <col min="5" max="5" width="62.5703125" style="582" customWidth="1"/>
    <col min="6" max="6" width="5.140625" style="915" customWidth="1"/>
    <col min="7" max="7" width="24" style="582" customWidth="1"/>
    <col min="8" max="8" width="11" style="582" customWidth="1"/>
    <col min="9" max="9" width="7.140625" style="582" customWidth="1"/>
    <col min="10" max="10" width="9.140625" style="582" customWidth="1"/>
    <col min="11" max="11" width="14" style="582" customWidth="1"/>
    <col min="12" max="12" width="15.140625" style="582" bestFit="1" customWidth="1"/>
    <col min="13" max="16384" width="9.140625" style="582"/>
  </cols>
  <sheetData>
    <row r="2" spans="1:6">
      <c r="B2" s="1642" t="s">
        <v>17</v>
      </c>
      <c r="C2" s="1642"/>
      <c r="D2" s="1642"/>
      <c r="E2" s="1642"/>
    </row>
    <row r="3" spans="1:6">
      <c r="B3" s="1642" t="s">
        <v>18</v>
      </c>
      <c r="C3" s="1642"/>
      <c r="D3" s="1642"/>
      <c r="E3" s="1642"/>
    </row>
    <row r="4" spans="1:6">
      <c r="B4" s="1642" t="s">
        <v>19</v>
      </c>
      <c r="C4" s="1642"/>
      <c r="D4" s="1642"/>
      <c r="E4" s="1642"/>
    </row>
    <row r="5" spans="1:6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</row>
    <row r="6" spans="1:6">
      <c r="B6" s="1647" t="s">
        <v>2</v>
      </c>
      <c r="C6" s="1647"/>
      <c r="D6" s="1647"/>
      <c r="E6" s="1647"/>
    </row>
    <row r="7" spans="1:6">
      <c r="B7" s="172"/>
      <c r="C7" s="172"/>
      <c r="D7" s="172"/>
      <c r="E7" s="172"/>
    </row>
    <row r="8" spans="1:6">
      <c r="B8" s="1642" t="s">
        <v>95</v>
      </c>
      <c r="C8" s="1642"/>
      <c r="D8" s="1642"/>
      <c r="E8" s="1642"/>
      <c r="F8" s="919"/>
    </row>
    <row r="9" spans="1:6">
      <c r="A9" s="405"/>
      <c r="F9" s="919"/>
    </row>
    <row r="10" spans="1:6">
      <c r="A10" s="405" t="s">
        <v>3</v>
      </c>
      <c r="B10" s="864"/>
      <c r="C10" s="864"/>
      <c r="D10" s="865"/>
      <c r="E10" s="866"/>
      <c r="F10" s="919" t="s">
        <v>3</v>
      </c>
    </row>
    <row r="11" spans="1:6">
      <c r="A11" s="405" t="s">
        <v>24</v>
      </c>
      <c r="B11" s="867" t="s">
        <v>22</v>
      </c>
      <c r="C11" s="867" t="s">
        <v>71</v>
      </c>
      <c r="D11" s="867" t="s">
        <v>123</v>
      </c>
      <c r="E11" s="901" t="s">
        <v>8</v>
      </c>
      <c r="F11" s="919" t="s">
        <v>24</v>
      </c>
    </row>
    <row r="12" spans="1:6">
      <c r="A12" s="266"/>
      <c r="B12" s="868"/>
      <c r="C12" s="868"/>
      <c r="D12" s="275"/>
      <c r="E12" s="869"/>
      <c r="F12" s="266"/>
    </row>
    <row r="13" spans="1:6">
      <c r="A13" s="405">
        <v>1</v>
      </c>
      <c r="B13" s="871" t="str">
        <f>"Dec-"&amp;RIGHT(Automation!$B$3-1,2)</f>
        <v>Dec-18</v>
      </c>
      <c r="C13" s="871" t="s">
        <v>554</v>
      </c>
      <c r="D13" s="872">
        <v>1387973.0282300001</v>
      </c>
      <c r="E13" s="873" t="str">
        <f>Automation!B3&amp;" Form 1; Page 356; Accts 303 to 398; BOY"</f>
        <v>2019 Form 1; Page 356; Accts 303 to 398; BOY</v>
      </c>
      <c r="F13" s="919">
        <f>A13</f>
        <v>1</v>
      </c>
    </row>
    <row r="14" spans="1:6">
      <c r="A14" s="405">
        <f>A13+1</f>
        <v>2</v>
      </c>
      <c r="B14" s="871"/>
      <c r="C14" s="871" t="s">
        <v>555</v>
      </c>
      <c r="D14" s="889">
        <v>0.73509999999999998</v>
      </c>
      <c r="E14" s="909" t="str">
        <f>Automation!B3-1&amp;" Form 1; Page 356.1; Electric"</f>
        <v>2018 Form 1; Page 356.1; Electric</v>
      </c>
      <c r="F14" s="919">
        <f>F13+1</f>
        <v>2</v>
      </c>
    </row>
    <row r="15" spans="1:6">
      <c r="A15" s="405">
        <f t="shared" ref="A15:A23" si="0">A14+1</f>
        <v>3</v>
      </c>
      <c r="B15" s="871"/>
      <c r="C15" s="871" t="s">
        <v>556</v>
      </c>
      <c r="D15" s="874">
        <f>D13*D14</f>
        <v>1020298.973051873</v>
      </c>
      <c r="E15" s="270" t="str">
        <f>"Line "&amp;A13&amp;" x Line "&amp;A14</f>
        <v>Line 1 x Line 2</v>
      </c>
      <c r="F15" s="919">
        <f t="shared" ref="F15:F23" si="1">F14+1</f>
        <v>3</v>
      </c>
    </row>
    <row r="16" spans="1:6">
      <c r="A16" s="405">
        <f t="shared" si="0"/>
        <v>4</v>
      </c>
      <c r="B16" s="871"/>
      <c r="C16" s="871"/>
      <c r="D16" s="379"/>
      <c r="E16" s="270"/>
      <c r="F16" s="919">
        <f t="shared" si="1"/>
        <v>4</v>
      </c>
    </row>
    <row r="17" spans="1:12">
      <c r="A17" s="405">
        <f t="shared" si="0"/>
        <v>5</v>
      </c>
      <c r="B17" s="871" t="str">
        <f>"Dec-"&amp;RIGHT(Automation!$B$3,2)</f>
        <v>Dec-19</v>
      </c>
      <c r="C17" s="871" t="s">
        <v>554</v>
      </c>
      <c r="D17" s="873">
        <v>1456156.8811599999</v>
      </c>
      <c r="E17" s="873" t="str">
        <f>Automation!B3&amp;" Form 1; Page 356; Accts 303 to 398; EOY"</f>
        <v>2019 Form 1; Page 356; Accts 303 to 398; EOY</v>
      </c>
      <c r="F17" s="919">
        <f t="shared" si="1"/>
        <v>5</v>
      </c>
    </row>
    <row r="18" spans="1:12">
      <c r="A18" s="405">
        <f t="shared" si="0"/>
        <v>6</v>
      </c>
      <c r="B18" s="871"/>
      <c r="C18" s="871" t="s">
        <v>555</v>
      </c>
      <c r="D18" s="875">
        <v>0.72219999999999995</v>
      </c>
      <c r="E18" s="909" t="str">
        <f>Automation!B3&amp;" Form 1; Page 356.1; Electric"</f>
        <v>2019 Form 1; Page 356.1; Electric</v>
      </c>
      <c r="F18" s="919">
        <f t="shared" si="1"/>
        <v>6</v>
      </c>
      <c r="L18" s="1558"/>
    </row>
    <row r="19" spans="1:12">
      <c r="A19" s="405">
        <f t="shared" si="0"/>
        <v>7</v>
      </c>
      <c r="B19" s="871"/>
      <c r="C19" s="871" t="s">
        <v>556</v>
      </c>
      <c r="D19" s="873">
        <f>D17*D18</f>
        <v>1051636.4995737518</v>
      </c>
      <c r="E19" s="380" t="str">
        <f>"Line "&amp;A17&amp;" x Line "&amp;A18</f>
        <v>Line 5 x Line 6</v>
      </c>
      <c r="F19" s="919">
        <f t="shared" si="1"/>
        <v>7</v>
      </c>
      <c r="L19" s="1558"/>
    </row>
    <row r="20" spans="1:12">
      <c r="A20" s="405">
        <f t="shared" si="0"/>
        <v>8</v>
      </c>
      <c r="B20" s="876"/>
      <c r="C20" s="867"/>
      <c r="D20" s="877"/>
      <c r="E20" s="878"/>
      <c r="F20" s="919">
        <f t="shared" si="1"/>
        <v>8</v>
      </c>
      <c r="L20" s="1558"/>
    </row>
    <row r="21" spans="1:12">
      <c r="A21" s="405">
        <f t="shared" si="0"/>
        <v>9</v>
      </c>
      <c r="B21" s="879"/>
      <c r="C21" s="880"/>
      <c r="D21" s="881"/>
      <c r="E21" s="882"/>
      <c r="F21" s="919">
        <f t="shared" si="1"/>
        <v>9</v>
      </c>
    </row>
    <row r="22" spans="1:12">
      <c r="A22" s="405">
        <f t="shared" si="0"/>
        <v>10</v>
      </c>
      <c r="B22" s="883" t="s">
        <v>26</v>
      </c>
      <c r="C22" s="880"/>
      <c r="D22" s="366">
        <f>(D15+D19)/2</f>
        <v>1035967.7363128124</v>
      </c>
      <c r="E22" s="884" t="str">
        <f>"Average of Line "&amp;A15&amp;" and Line "&amp;A19</f>
        <v>Average of Line 3 and Line 7</v>
      </c>
      <c r="F22" s="919">
        <f t="shared" si="1"/>
        <v>10</v>
      </c>
      <c r="L22" s="1558"/>
    </row>
    <row r="23" spans="1:12">
      <c r="A23" s="405">
        <f t="shared" si="0"/>
        <v>11</v>
      </c>
      <c r="B23" s="885"/>
      <c r="C23" s="886"/>
      <c r="D23" s="887"/>
      <c r="E23" s="888"/>
      <c r="F23" s="919">
        <f t="shared" si="1"/>
        <v>11</v>
      </c>
    </row>
    <row r="24" spans="1:12">
      <c r="A24" s="405"/>
      <c r="B24" s="347"/>
      <c r="C24" s="347"/>
      <c r="D24" s="347"/>
      <c r="E24" s="337"/>
      <c r="F24" s="919"/>
    </row>
    <row r="25" spans="1:12">
      <c r="A25" s="405"/>
      <c r="B25" s="347"/>
      <c r="C25" s="347"/>
      <c r="D25" s="347"/>
      <c r="E25" s="347"/>
    </row>
    <row r="26" spans="1:12">
      <c r="A26" s="405"/>
      <c r="B26" s="347"/>
      <c r="C26" s="347"/>
      <c r="D26" s="347"/>
      <c r="E26" s="347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N41"/>
  <sheetViews>
    <sheetView zoomScale="80" zoomScaleNormal="80" zoomScalePageLayoutView="80" workbookViewId="0">
      <selection activeCell="C7" sqref="C7"/>
    </sheetView>
  </sheetViews>
  <sheetFormatPr defaultColWidth="8.85546875" defaultRowHeight="15.75"/>
  <cols>
    <col min="1" max="1" width="5.140625" style="187" bestFit="1" customWidth="1"/>
    <col min="2" max="2" width="67.5703125" style="227" customWidth="1"/>
    <col min="3" max="3" width="24" style="187" customWidth="1"/>
    <col min="4" max="4" width="1.5703125" style="227" customWidth="1"/>
    <col min="5" max="5" width="16.85546875" style="227" customWidth="1"/>
    <col min="6" max="6" width="1.5703125" style="227" customWidth="1"/>
    <col min="7" max="7" width="16.85546875" style="227" customWidth="1"/>
    <col min="8" max="8" width="1.5703125" style="227" customWidth="1"/>
    <col min="9" max="9" width="16.85546875" style="227" customWidth="1"/>
    <col min="10" max="10" width="1.5703125" style="227" customWidth="1"/>
    <col min="11" max="11" width="34.5703125" style="227" customWidth="1"/>
    <col min="12" max="12" width="5.140625" style="227" bestFit="1" customWidth="1"/>
    <col min="13" max="13" width="8.85546875" style="227"/>
    <col min="14" max="14" width="33.42578125" style="227" customWidth="1"/>
    <col min="15" max="16384" width="8.85546875" style="227"/>
  </cols>
  <sheetData>
    <row r="1" spans="1:14">
      <c r="A1" s="580"/>
      <c r="H1" s="187"/>
      <c r="I1" s="187"/>
      <c r="J1" s="187"/>
      <c r="K1" s="187"/>
      <c r="L1" s="580"/>
    </row>
    <row r="2" spans="1:14">
      <c r="B2" s="1641" t="s">
        <v>17</v>
      </c>
      <c r="C2" s="1641"/>
      <c r="D2" s="1641"/>
      <c r="E2" s="1641"/>
      <c r="F2" s="1641"/>
      <c r="G2" s="1641"/>
      <c r="H2" s="1642"/>
      <c r="I2" s="1642"/>
      <c r="J2" s="1642"/>
      <c r="K2" s="1642"/>
      <c r="L2" s="187"/>
    </row>
    <row r="3" spans="1:14">
      <c r="B3" s="1641" t="s">
        <v>1024</v>
      </c>
      <c r="C3" s="1641"/>
      <c r="D3" s="1641"/>
      <c r="E3" s="1641"/>
      <c r="F3" s="1641"/>
      <c r="G3" s="1641"/>
      <c r="H3" s="1642"/>
      <c r="I3" s="1642"/>
      <c r="J3" s="1642"/>
      <c r="K3" s="1642"/>
      <c r="L3" s="187"/>
    </row>
    <row r="4" spans="1:14">
      <c r="B4" s="1641" t="s">
        <v>101</v>
      </c>
      <c r="C4" s="1641"/>
      <c r="D4" s="1641"/>
      <c r="E4" s="1641"/>
      <c r="F4" s="1641"/>
      <c r="G4" s="1641"/>
      <c r="H4" s="1642"/>
      <c r="I4" s="1642"/>
      <c r="J4" s="1642"/>
      <c r="K4" s="1642"/>
      <c r="L4" s="187"/>
    </row>
    <row r="5" spans="1:14">
      <c r="B5" s="1644" t="str">
        <f>'A. Sec.1 - Direct Maintenance'!B5</f>
        <v>Base Period &amp; True-Up Period 12 - Months Ending December 31, 2019</v>
      </c>
      <c r="C5" s="1644"/>
      <c r="D5" s="1644"/>
      <c r="E5" s="1644"/>
      <c r="F5" s="1644"/>
      <c r="G5" s="1644"/>
      <c r="H5" s="1649"/>
      <c r="I5" s="1649"/>
      <c r="J5" s="1649"/>
      <c r="K5" s="1649"/>
      <c r="L5" s="187"/>
      <c r="N5" s="170"/>
    </row>
    <row r="6" spans="1:14">
      <c r="B6" s="1646" t="s">
        <v>2</v>
      </c>
      <c r="C6" s="1643"/>
      <c r="D6" s="1643"/>
      <c r="E6" s="1643"/>
      <c r="F6" s="1643"/>
      <c r="G6" s="1643"/>
      <c r="H6" s="1643"/>
      <c r="I6" s="1643"/>
      <c r="J6" s="1643"/>
      <c r="K6" s="1643"/>
      <c r="L6" s="187"/>
      <c r="N6" s="706"/>
    </row>
    <row r="7" spans="1:14">
      <c r="B7" s="580"/>
      <c r="C7" s="580"/>
      <c r="D7" s="580"/>
      <c r="E7" s="580"/>
      <c r="F7" s="580"/>
      <c r="G7" s="580"/>
      <c r="H7" s="600"/>
      <c r="I7" s="600"/>
      <c r="J7" s="600"/>
      <c r="K7" s="187"/>
      <c r="L7" s="187"/>
    </row>
    <row r="8" spans="1:14">
      <c r="A8" s="580" t="s">
        <v>3</v>
      </c>
      <c r="B8" s="600"/>
      <c r="C8" s="583" t="s">
        <v>472</v>
      </c>
      <c r="D8" s="600"/>
      <c r="E8" s="657" t="s">
        <v>4</v>
      </c>
      <c r="F8" s="580"/>
      <c r="G8" s="657" t="s">
        <v>5</v>
      </c>
      <c r="H8" s="580"/>
      <c r="I8" s="657" t="s">
        <v>6</v>
      </c>
      <c r="J8" s="600"/>
      <c r="K8" s="266"/>
      <c r="L8" s="580" t="s">
        <v>3</v>
      </c>
    </row>
    <row r="9" spans="1:14">
      <c r="A9" s="584" t="s">
        <v>24</v>
      </c>
      <c r="B9" s="600"/>
      <c r="C9" s="585" t="s">
        <v>473</v>
      </c>
      <c r="D9" s="600"/>
      <c r="E9" s="691" t="str">
        <f>'Stmt AD'!E9</f>
        <v>31-Dec-18</v>
      </c>
      <c r="F9" s="600"/>
      <c r="G9" s="691" t="str">
        <f>'Stmt AD'!G9</f>
        <v>31-Dec-19</v>
      </c>
      <c r="H9" s="600"/>
      <c r="I9" s="601" t="s">
        <v>7</v>
      </c>
      <c r="J9" s="600"/>
      <c r="K9" s="378" t="s">
        <v>8</v>
      </c>
      <c r="L9" s="584" t="s">
        <v>24</v>
      </c>
    </row>
    <row r="10" spans="1:14">
      <c r="A10" s="580"/>
      <c r="B10" s="580"/>
      <c r="C10" s="580"/>
      <c r="D10" s="580"/>
      <c r="E10" s="580"/>
      <c r="F10" s="580"/>
      <c r="G10" s="580"/>
      <c r="H10" s="580"/>
      <c r="I10" s="580"/>
      <c r="J10" s="580"/>
      <c r="K10" s="187"/>
      <c r="L10" s="580"/>
    </row>
    <row r="11" spans="1:14" ht="18.75">
      <c r="A11" s="580">
        <v>1</v>
      </c>
      <c r="B11" s="98" t="s">
        <v>637</v>
      </c>
      <c r="C11" s="618"/>
      <c r="D11" s="580"/>
      <c r="E11" s="707"/>
      <c r="F11" s="595"/>
      <c r="G11" s="707"/>
      <c r="H11" s="708"/>
      <c r="I11" s="709">
        <f>'AE-1'!E36</f>
        <v>1250519.8026715387</v>
      </c>
      <c r="J11" s="603"/>
      <c r="K11" s="187" t="str">
        <f>"AE-1; Line "&amp;'AE-1'!A36</f>
        <v>AE-1; Line 23</v>
      </c>
      <c r="L11" s="580">
        <f>A11</f>
        <v>1</v>
      </c>
    </row>
    <row r="12" spans="1:14">
      <c r="A12" s="580">
        <f>A11+1</f>
        <v>2</v>
      </c>
      <c r="B12" s="106"/>
      <c r="C12" s="292"/>
      <c r="E12" s="581"/>
      <c r="G12" s="581"/>
      <c r="H12" s="607"/>
      <c r="I12" s="581"/>
      <c r="J12" s="607"/>
      <c r="K12" s="710"/>
      <c r="L12" s="580">
        <f>L11+1</f>
        <v>2</v>
      </c>
    </row>
    <row r="13" spans="1:14" ht="18.75">
      <c r="A13" s="580">
        <f t="shared" ref="A13:A29" si="0">+A12+1</f>
        <v>3</v>
      </c>
      <c r="B13" s="106" t="s">
        <v>638</v>
      </c>
      <c r="C13" s="618"/>
      <c r="E13" s="711">
        <f>'AE-2'!C14</f>
        <v>131071.19467</v>
      </c>
      <c r="F13" s="712"/>
      <c r="G13" s="711">
        <f>'AE-2'!C16</f>
        <v>143542.72462000002</v>
      </c>
      <c r="H13" s="603"/>
      <c r="I13" s="615">
        <f>(E13+G13)/2</f>
        <v>137306.959645</v>
      </c>
      <c r="J13" s="603"/>
      <c r="K13" s="187" t="str">
        <f>"AE-2; Line "&amp;'AE-2'!A19</f>
        <v>AE-2; Line 6</v>
      </c>
      <c r="L13" s="580">
        <f t="shared" ref="L13:L29" si="1">+L12+1</f>
        <v>3</v>
      </c>
    </row>
    <row r="14" spans="1:14">
      <c r="A14" s="580">
        <f t="shared" si="0"/>
        <v>4</v>
      </c>
      <c r="B14" s="106"/>
      <c r="C14" s="292"/>
      <c r="E14" s="606"/>
      <c r="F14" s="267"/>
      <c r="G14" s="606"/>
      <c r="H14" s="607"/>
      <c r="I14" s="615"/>
      <c r="J14" s="607"/>
      <c r="K14" s="593"/>
      <c r="L14" s="580">
        <f t="shared" si="1"/>
        <v>4</v>
      </c>
    </row>
    <row r="15" spans="1:14" ht="18.75">
      <c r="A15" s="580">
        <f t="shared" si="0"/>
        <v>5</v>
      </c>
      <c r="B15" s="106" t="s">
        <v>639</v>
      </c>
      <c r="C15" s="618"/>
      <c r="E15" s="659">
        <f>'AE-3'!C14</f>
        <v>162544.22695999997</v>
      </c>
      <c r="F15" s="267"/>
      <c r="G15" s="659">
        <f>'AE-3'!C16</f>
        <v>184120.52502999999</v>
      </c>
      <c r="H15" s="713"/>
      <c r="I15" s="615">
        <f>(E15+G15)/2</f>
        <v>173332.37599499998</v>
      </c>
      <c r="J15" s="607"/>
      <c r="K15" s="187" t="str">
        <f>"AE-3; Line "&amp;'AE-3'!A19</f>
        <v>AE-3; Line 6</v>
      </c>
      <c r="L15" s="580">
        <f t="shared" si="1"/>
        <v>5</v>
      </c>
    </row>
    <row r="16" spans="1:14">
      <c r="A16" s="580">
        <f t="shared" si="0"/>
        <v>6</v>
      </c>
      <c r="B16" s="106"/>
      <c r="E16" s="615"/>
      <c r="F16" s="267"/>
      <c r="G16" s="615"/>
      <c r="H16" s="607"/>
      <c r="I16" s="616"/>
      <c r="J16" s="607"/>
      <c r="K16" s="593"/>
      <c r="L16" s="580">
        <f t="shared" si="1"/>
        <v>6</v>
      </c>
    </row>
    <row r="17" spans="1:14" ht="18.75">
      <c r="A17" s="580">
        <f t="shared" si="0"/>
        <v>7</v>
      </c>
      <c r="B17" s="106" t="s">
        <v>640</v>
      </c>
      <c r="E17" s="659">
        <f>'AE-4'!F15</f>
        <v>466070.85504506301</v>
      </c>
      <c r="F17" s="267"/>
      <c r="G17" s="659">
        <f>'AE-4'!F19</f>
        <v>519305.21042369795</v>
      </c>
      <c r="H17" s="713"/>
      <c r="I17" s="615">
        <f>(E17+G17)/2</f>
        <v>492688.03273438045</v>
      </c>
      <c r="J17" s="607"/>
      <c r="K17" s="187" t="str">
        <f>"AE-4; Line "&amp;'AE-4'!A22</f>
        <v>AE-4; Line 10</v>
      </c>
      <c r="L17" s="580">
        <f t="shared" si="1"/>
        <v>7</v>
      </c>
    </row>
    <row r="18" spans="1:14">
      <c r="A18" s="580">
        <f t="shared" si="0"/>
        <v>8</v>
      </c>
      <c r="B18" s="106"/>
      <c r="E18" s="581"/>
      <c r="G18" s="581"/>
      <c r="H18" s="607"/>
      <c r="I18" s="581"/>
      <c r="J18" s="607"/>
      <c r="K18" s="605"/>
      <c r="L18" s="580">
        <f t="shared" si="1"/>
        <v>8</v>
      </c>
    </row>
    <row r="19" spans="1:14">
      <c r="A19" s="580">
        <f t="shared" si="0"/>
        <v>9</v>
      </c>
      <c r="B19" s="106" t="s">
        <v>11</v>
      </c>
      <c r="E19" s="608"/>
      <c r="F19" s="267"/>
      <c r="G19" s="608"/>
      <c r="H19" s="660"/>
      <c r="I19" s="610">
        <f>'Stmt AI'!E27</f>
        <v>0.10143191236945187</v>
      </c>
      <c r="J19" s="660"/>
      <c r="K19" s="593" t="str">
        <f>"Statement AI; Line "&amp;'Stmt AI'!A27</f>
        <v>Statement AI; Line 17</v>
      </c>
      <c r="L19" s="580">
        <f t="shared" si="1"/>
        <v>9</v>
      </c>
    </row>
    <row r="20" spans="1:14">
      <c r="A20" s="580">
        <f t="shared" si="0"/>
        <v>10</v>
      </c>
      <c r="B20" s="106"/>
      <c r="E20" s="606"/>
      <c r="F20" s="267"/>
      <c r="G20" s="606"/>
      <c r="H20" s="607"/>
      <c r="I20" s="646"/>
      <c r="J20" s="607"/>
      <c r="K20" s="605"/>
      <c r="L20" s="580">
        <f t="shared" si="1"/>
        <v>10</v>
      </c>
    </row>
    <row r="21" spans="1:14">
      <c r="A21" s="580">
        <f t="shared" si="0"/>
        <v>11</v>
      </c>
      <c r="B21" s="106" t="s">
        <v>100</v>
      </c>
      <c r="E21" s="606"/>
      <c r="F21" s="267"/>
      <c r="G21" s="606"/>
      <c r="H21" s="607"/>
      <c r="I21" s="714">
        <f>I13*I19</f>
        <v>13927.307498427504</v>
      </c>
      <c r="J21" s="603"/>
      <c r="K21" s="605" t="str">
        <f>"Line "&amp;A13&amp;" x Line "&amp;A19</f>
        <v>Line 3 x Line 9</v>
      </c>
      <c r="L21" s="580">
        <f t="shared" si="1"/>
        <v>11</v>
      </c>
    </row>
    <row r="22" spans="1:14">
      <c r="A22" s="580">
        <f t="shared" si="0"/>
        <v>12</v>
      </c>
      <c r="B22" s="106"/>
      <c r="E22" s="606"/>
      <c r="F22" s="267"/>
      <c r="G22" s="606"/>
      <c r="H22" s="607"/>
      <c r="I22" s="715"/>
      <c r="J22" s="607"/>
      <c r="K22" s="605"/>
      <c r="L22" s="580">
        <f t="shared" si="1"/>
        <v>12</v>
      </c>
    </row>
    <row r="23" spans="1:14">
      <c r="A23" s="580">
        <f t="shared" si="0"/>
        <v>13</v>
      </c>
      <c r="B23" s="106" t="s">
        <v>99</v>
      </c>
      <c r="E23" s="615"/>
      <c r="F23" s="326"/>
      <c r="G23" s="615"/>
      <c r="H23" s="716"/>
      <c r="I23" s="717">
        <f>I15*I19</f>
        <v>17581.43437271372</v>
      </c>
      <c r="J23" s="607"/>
      <c r="K23" s="605" t="str">
        <f>"Line "&amp;A15&amp;" x Line "&amp;A19</f>
        <v>Line 5 x Line 9</v>
      </c>
      <c r="L23" s="580">
        <f t="shared" si="1"/>
        <v>13</v>
      </c>
    </row>
    <row r="24" spans="1:14">
      <c r="A24" s="580">
        <f t="shared" si="0"/>
        <v>14</v>
      </c>
      <c r="B24" s="106"/>
      <c r="E24" s="615"/>
      <c r="F24" s="326"/>
      <c r="G24" s="615"/>
      <c r="H24" s="713"/>
      <c r="I24" s="662"/>
      <c r="J24" s="607"/>
      <c r="K24" s="605"/>
      <c r="L24" s="580">
        <f t="shared" si="1"/>
        <v>14</v>
      </c>
    </row>
    <row r="25" spans="1:14">
      <c r="A25" s="580">
        <f t="shared" si="0"/>
        <v>15</v>
      </c>
      <c r="B25" s="106" t="s">
        <v>98</v>
      </c>
      <c r="E25" s="717"/>
      <c r="F25" s="326"/>
      <c r="G25" s="717"/>
      <c r="H25" s="713"/>
      <c r="I25" s="718">
        <f>I17*I19</f>
        <v>49974.289361791314</v>
      </c>
      <c r="J25" s="607"/>
      <c r="K25" s="605" t="str">
        <f>"Line "&amp;A17&amp;" x Line "&amp;A19</f>
        <v>Line 7 x Line 9</v>
      </c>
      <c r="L25" s="580">
        <f t="shared" si="1"/>
        <v>15</v>
      </c>
    </row>
    <row r="26" spans="1:14">
      <c r="A26" s="580">
        <f t="shared" si="0"/>
        <v>16</v>
      </c>
      <c r="B26" s="106"/>
      <c r="E26" s="717"/>
      <c r="F26" s="326"/>
      <c r="G26" s="717"/>
      <c r="H26" s="713"/>
      <c r="I26" s="662"/>
      <c r="J26" s="607"/>
      <c r="K26" s="605"/>
      <c r="L26" s="580">
        <f t="shared" si="1"/>
        <v>16</v>
      </c>
      <c r="N26" s="337"/>
    </row>
    <row r="27" spans="1:14" ht="16.5" thickBot="1">
      <c r="A27" s="580">
        <f t="shared" si="0"/>
        <v>17</v>
      </c>
      <c r="B27" s="106" t="s">
        <v>97</v>
      </c>
      <c r="E27" s="612"/>
      <c r="F27" s="326"/>
      <c r="G27" s="612"/>
      <c r="H27" s="713"/>
      <c r="I27" s="613">
        <f>I11+I21+I23+I25</f>
        <v>1332002.8339044712</v>
      </c>
      <c r="J27" s="603"/>
      <c r="K27" s="605" t="str">
        <f>"Line "&amp;A11&amp;" + (Sum Lines "&amp;A21&amp;" thru "&amp;A25&amp;")"</f>
        <v>Line 1 + (Sum Lines 11 thru 15)</v>
      </c>
      <c r="L27" s="580">
        <f t="shared" si="1"/>
        <v>17</v>
      </c>
    </row>
    <row r="28" spans="1:14" s="1340" customFormat="1" ht="16.5" thickTop="1">
      <c r="A28" s="580">
        <f t="shared" si="0"/>
        <v>18</v>
      </c>
      <c r="B28" s="106"/>
      <c r="C28" s="1457"/>
      <c r="E28" s="612"/>
      <c r="F28" s="326"/>
      <c r="G28" s="612"/>
      <c r="H28" s="713"/>
      <c r="I28" s="612"/>
      <c r="J28" s="603"/>
      <c r="K28" s="605"/>
      <c r="L28" s="580">
        <f t="shared" si="1"/>
        <v>18</v>
      </c>
    </row>
    <row r="29" spans="1:14" s="1340" customFormat="1" ht="19.5" thickBot="1">
      <c r="A29" s="580">
        <f t="shared" si="0"/>
        <v>19</v>
      </c>
      <c r="B29" s="98" t="s">
        <v>925</v>
      </c>
      <c r="C29" s="1457"/>
      <c r="E29" s="612"/>
      <c r="F29" s="326"/>
      <c r="G29" s="612"/>
      <c r="H29" s="713"/>
      <c r="I29" s="1522">
        <v>0</v>
      </c>
      <c r="J29" s="580"/>
      <c r="K29" s="292" t="s">
        <v>125</v>
      </c>
      <c r="L29" s="580">
        <f t="shared" si="1"/>
        <v>19</v>
      </c>
    </row>
    <row r="30" spans="1:14" ht="16.5" thickTop="1">
      <c r="A30" s="580"/>
      <c r="B30" s="106"/>
      <c r="E30" s="267"/>
      <c r="F30" s="267"/>
      <c r="G30" s="602"/>
      <c r="H30" s="607"/>
      <c r="I30" s="607"/>
      <c r="J30" s="607"/>
      <c r="K30" s="605"/>
      <c r="L30" s="580"/>
    </row>
    <row r="32" spans="1:14" ht="18.75">
      <c r="A32" s="2">
        <v>1</v>
      </c>
      <c r="B32" s="337" t="s">
        <v>924</v>
      </c>
    </row>
    <row r="33" spans="1:2" ht="18.75">
      <c r="A33" s="1">
        <v>2</v>
      </c>
      <c r="B33" s="108" t="s">
        <v>96</v>
      </c>
    </row>
    <row r="34" spans="1:2" ht="18.75">
      <c r="A34" s="3">
        <v>3</v>
      </c>
      <c r="B34" s="337" t="s">
        <v>581</v>
      </c>
    </row>
    <row r="35" spans="1:2" ht="18.75">
      <c r="A35" s="3">
        <v>4</v>
      </c>
      <c r="B35" s="337" t="s">
        <v>579</v>
      </c>
    </row>
    <row r="36" spans="1:2">
      <c r="A36" s="603"/>
      <c r="B36" s="170"/>
    </row>
    <row r="37" spans="1:2">
      <c r="B37" s="988"/>
    </row>
    <row r="38" spans="1:2">
      <c r="B38" s="988"/>
    </row>
    <row r="39" spans="1:2">
      <c r="B39" s="988"/>
    </row>
    <row r="40" spans="1:2">
      <c r="B40" s="988"/>
    </row>
    <row r="41" spans="1:2">
      <c r="B41" s="913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49" orientation="portrait" r:id="rId1"/>
  <headerFooter scaleWithDoc="0">
    <oddFooter>&amp;C&amp;"Times New Roman,Regular"&amp;10AE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Z49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6" customWidth="1"/>
    <col min="4" max="4" width="25.140625" style="176" customWidth="1"/>
    <col min="5" max="5" width="18.5703125" style="170" customWidth="1"/>
    <col min="6" max="6" width="69.5703125" style="170" bestFit="1" customWidth="1"/>
    <col min="7" max="7" width="5.140625" style="915" customWidth="1"/>
    <col min="8" max="8" width="24" style="170" customWidth="1"/>
    <col min="9" max="9" width="11" style="170" customWidth="1"/>
    <col min="10" max="10" width="7.140625" style="170" customWidth="1"/>
    <col min="11" max="11" width="9.140625" style="170" customWidth="1"/>
    <col min="12" max="12" width="14" style="170" customWidth="1"/>
    <col min="13" max="13" width="13.42578125" style="170" customWidth="1"/>
    <col min="14" max="16384" width="9.140625" style="170"/>
  </cols>
  <sheetData>
    <row r="2" spans="1:8">
      <c r="B2" s="1642" t="s">
        <v>17</v>
      </c>
      <c r="C2" s="1642"/>
      <c r="D2" s="1642"/>
      <c r="E2" s="1642"/>
      <c r="F2" s="1642"/>
    </row>
    <row r="3" spans="1:8">
      <c r="B3" s="1642" t="s">
        <v>104</v>
      </c>
      <c r="C3" s="1642"/>
      <c r="D3" s="1642"/>
      <c r="E3" s="1642"/>
      <c r="F3" s="1642"/>
    </row>
    <row r="4" spans="1:8">
      <c r="B4" s="1642" t="s">
        <v>103</v>
      </c>
      <c r="C4" s="1642"/>
      <c r="D4" s="1642"/>
      <c r="E4" s="1642"/>
      <c r="F4" s="1642"/>
    </row>
    <row r="5" spans="1:8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  <c r="F5" s="1642"/>
    </row>
    <row r="6" spans="1:8">
      <c r="B6" s="1647" t="s">
        <v>2</v>
      </c>
      <c r="C6" s="1647"/>
      <c r="D6" s="1647"/>
      <c r="E6" s="1647"/>
      <c r="F6" s="1647"/>
    </row>
    <row r="7" spans="1:8">
      <c r="B7" s="172"/>
      <c r="C7" s="173"/>
      <c r="D7" s="173"/>
      <c r="E7" s="172"/>
      <c r="F7" s="172"/>
    </row>
    <row r="8" spans="1:8">
      <c r="B8" s="1642" t="s">
        <v>57</v>
      </c>
      <c r="C8" s="1642"/>
      <c r="D8" s="1642"/>
      <c r="E8" s="1642"/>
      <c r="F8" s="1642"/>
    </row>
    <row r="10" spans="1:8">
      <c r="A10" s="187"/>
      <c r="B10" s="179"/>
      <c r="C10" s="180" t="s">
        <v>30</v>
      </c>
      <c r="D10" s="245"/>
      <c r="E10" s="180"/>
      <c r="F10" s="245"/>
    </row>
    <row r="11" spans="1:8">
      <c r="A11" s="187"/>
      <c r="B11" s="182"/>
      <c r="C11" s="183" t="s">
        <v>58</v>
      </c>
      <c r="D11" s="182"/>
      <c r="E11" s="190" t="s">
        <v>58</v>
      </c>
      <c r="F11" s="182"/>
    </row>
    <row r="12" spans="1:8">
      <c r="A12" s="187" t="s">
        <v>3</v>
      </c>
      <c r="B12" s="189"/>
      <c r="C12" s="183" t="s">
        <v>102</v>
      </c>
      <c r="D12" s="298"/>
      <c r="E12" s="190" t="s">
        <v>102</v>
      </c>
      <c r="F12" s="298"/>
      <c r="G12" s="919" t="s">
        <v>3</v>
      </c>
    </row>
    <row r="13" spans="1:8" ht="18.75">
      <c r="A13" s="187" t="s">
        <v>24</v>
      </c>
      <c r="B13" s="191" t="s">
        <v>22</v>
      </c>
      <c r="C13" s="192" t="s">
        <v>34</v>
      </c>
      <c r="D13" s="191" t="s">
        <v>8</v>
      </c>
      <c r="E13" s="194" t="s">
        <v>414</v>
      </c>
      <c r="F13" s="191" t="s">
        <v>8</v>
      </c>
      <c r="G13" s="919" t="s">
        <v>24</v>
      </c>
    </row>
    <row r="14" spans="1:8">
      <c r="A14" s="187">
        <v>1</v>
      </c>
      <c r="B14" s="195" t="str">
        <f>"Dec-"&amp;RIGHT(Automation!$B$3-1,2)</f>
        <v>Dec-18</v>
      </c>
      <c r="C14" s="382">
        <v>1199426.52688</v>
      </c>
      <c r="D14" s="270" t="s">
        <v>415</v>
      </c>
      <c r="E14" s="382">
        <v>1180379.3838899999</v>
      </c>
      <c r="F14" s="270" t="str">
        <f>Automation!B3-1&amp;" Form 1; Page 450.1; Sch. Pg. 200; Line 33; Col. b"</f>
        <v>2018 Form 1; Page 450.1; Sch. Pg. 200; Line 33; Col. b</v>
      </c>
      <c r="G14" s="919">
        <f>A14</f>
        <v>1</v>
      </c>
      <c r="H14" s="200"/>
    </row>
    <row r="15" spans="1:8">
      <c r="A15" s="187">
        <f>A14+1</f>
        <v>2</v>
      </c>
      <c r="B15" s="195" t="str">
        <f>"Jan-"&amp;RIGHT(Automation!$B$3,2)</f>
        <v>Jan-19</v>
      </c>
      <c r="C15" s="250">
        <v>1211877.17616</v>
      </c>
      <c r="D15" s="280"/>
      <c r="E15" s="383">
        <v>1192735.35672</v>
      </c>
      <c r="F15" s="280"/>
      <c r="G15" s="919">
        <f>G14+1</f>
        <v>2</v>
      </c>
    </row>
    <row r="16" spans="1:8">
      <c r="A16" s="187">
        <f t="shared" ref="A16:A36" si="0">A15+1</f>
        <v>3</v>
      </c>
      <c r="B16" s="195" t="s">
        <v>35</v>
      </c>
      <c r="C16" s="250">
        <v>1224639.0976499999</v>
      </c>
      <c r="D16" s="280"/>
      <c r="E16" s="383">
        <v>1205308.5212399999</v>
      </c>
      <c r="F16" s="280"/>
      <c r="G16" s="919">
        <f t="shared" ref="G16:G36" si="1">G15+1</f>
        <v>3</v>
      </c>
    </row>
    <row r="17" spans="1:26">
      <c r="A17" s="187">
        <f t="shared" si="0"/>
        <v>4</v>
      </c>
      <c r="B17" s="195" t="s">
        <v>36</v>
      </c>
      <c r="C17" s="250">
        <v>1237240.5189499999</v>
      </c>
      <c r="D17" s="280"/>
      <c r="E17" s="383">
        <v>1217756.8415399999</v>
      </c>
      <c r="F17" s="280"/>
      <c r="G17" s="919">
        <f t="shared" si="1"/>
        <v>4</v>
      </c>
    </row>
    <row r="18" spans="1:26">
      <c r="A18" s="187">
        <f t="shared" si="0"/>
        <v>5</v>
      </c>
      <c r="B18" s="195" t="s">
        <v>37</v>
      </c>
      <c r="C18" s="250">
        <v>1248530.4984200001</v>
      </c>
      <c r="D18" s="280"/>
      <c r="E18" s="383">
        <v>1228535.05122</v>
      </c>
      <c r="F18" s="280"/>
      <c r="G18" s="919">
        <f t="shared" si="1"/>
        <v>5</v>
      </c>
      <c r="H18" s="384"/>
    </row>
    <row r="19" spans="1:26">
      <c r="A19" s="187">
        <f t="shared" si="0"/>
        <v>6</v>
      </c>
      <c r="B19" s="195" t="s">
        <v>38</v>
      </c>
      <c r="C19" s="250">
        <v>1261388.6180199999</v>
      </c>
      <c r="D19" s="280"/>
      <c r="E19" s="383">
        <v>1241225.0640700001</v>
      </c>
      <c r="F19" s="280"/>
      <c r="G19" s="919">
        <f t="shared" si="1"/>
        <v>6</v>
      </c>
    </row>
    <row r="20" spans="1:26">
      <c r="A20" s="187">
        <f>A19+1</f>
        <v>7</v>
      </c>
      <c r="B20" s="195" t="s">
        <v>39</v>
      </c>
      <c r="C20" s="250">
        <v>1273261.5575699999</v>
      </c>
      <c r="D20" s="280"/>
      <c r="E20" s="383">
        <v>1252952.5412699999</v>
      </c>
      <c r="F20" s="280"/>
      <c r="G20" s="919">
        <f>G19+1</f>
        <v>7</v>
      </c>
    </row>
    <row r="21" spans="1:26">
      <c r="A21" s="187">
        <f t="shared" si="0"/>
        <v>8</v>
      </c>
      <c r="B21" s="195" t="s">
        <v>40</v>
      </c>
      <c r="C21" s="250">
        <v>1284510.8316800001</v>
      </c>
      <c r="D21" s="280"/>
      <c r="E21" s="383">
        <v>1264088.6529900001</v>
      </c>
      <c r="F21" s="280"/>
      <c r="G21" s="919">
        <f t="shared" si="1"/>
        <v>8</v>
      </c>
    </row>
    <row r="22" spans="1:26">
      <c r="A22" s="187">
        <f t="shared" si="0"/>
        <v>9</v>
      </c>
      <c r="B22" s="195" t="s">
        <v>41</v>
      </c>
      <c r="C22" s="250">
        <v>1293857.5753200001</v>
      </c>
      <c r="D22" s="280"/>
      <c r="E22" s="383">
        <v>1273297.7149</v>
      </c>
      <c r="F22" s="280"/>
      <c r="G22" s="919">
        <f t="shared" si="1"/>
        <v>9</v>
      </c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</row>
    <row r="23" spans="1:26">
      <c r="A23" s="187">
        <f t="shared" si="0"/>
        <v>10</v>
      </c>
      <c r="B23" s="195" t="s">
        <v>42</v>
      </c>
      <c r="C23" s="250">
        <v>1305129.85002</v>
      </c>
      <c r="D23" s="280"/>
      <c r="E23" s="383">
        <v>1284465.28259</v>
      </c>
      <c r="F23" s="280"/>
      <c r="G23" s="919">
        <f t="shared" si="1"/>
        <v>10</v>
      </c>
    </row>
    <row r="24" spans="1:26">
      <c r="A24" s="187">
        <f t="shared" si="0"/>
        <v>11</v>
      </c>
      <c r="B24" s="195" t="s">
        <v>43</v>
      </c>
      <c r="C24" s="250">
        <v>1316694.12907</v>
      </c>
      <c r="D24" s="280"/>
      <c r="E24" s="383">
        <v>1295873.75395</v>
      </c>
      <c r="F24" s="280"/>
      <c r="G24" s="919">
        <f t="shared" si="1"/>
        <v>11</v>
      </c>
    </row>
    <row r="25" spans="1:26">
      <c r="A25" s="187">
        <f t="shared" si="0"/>
        <v>12</v>
      </c>
      <c r="B25" s="195" t="s">
        <v>44</v>
      </c>
      <c r="C25" s="250">
        <v>1324997.6989899999</v>
      </c>
      <c r="D25" s="280"/>
      <c r="E25" s="383">
        <v>1304075.0719000001</v>
      </c>
      <c r="F25" s="280"/>
      <c r="G25" s="919">
        <f t="shared" si="1"/>
        <v>12</v>
      </c>
    </row>
    <row r="26" spans="1:26">
      <c r="A26" s="187">
        <f t="shared" si="0"/>
        <v>13</v>
      </c>
      <c r="B26" s="207" t="str">
        <f>"Dec-"&amp;RIGHT(Automation!$B$3,2)</f>
        <v>Dec-19</v>
      </c>
      <c r="C26" s="251">
        <v>1336480.78113</v>
      </c>
      <c r="D26" s="281" t="s">
        <v>415</v>
      </c>
      <c r="E26" s="381">
        <v>1315464.7984499999</v>
      </c>
      <c r="F26" s="270" t="str">
        <f>Automation!B3&amp;" Form 1; Page 450.1; Sch. Pg. 200; Line 33; Col. b"</f>
        <v>2019 Form 1; Page 450.1; Sch. Pg. 200; Line 33; Col. b</v>
      </c>
      <c r="G26" s="919">
        <f t="shared" si="1"/>
        <v>13</v>
      </c>
      <c r="H26" s="200"/>
    </row>
    <row r="27" spans="1:26">
      <c r="A27" s="187">
        <f t="shared" si="0"/>
        <v>14</v>
      </c>
      <c r="B27" s="209"/>
      <c r="C27" s="236"/>
      <c r="D27" s="385"/>
      <c r="E27" s="237"/>
      <c r="F27" s="179"/>
      <c r="G27" s="919">
        <f t="shared" si="1"/>
        <v>14</v>
      </c>
    </row>
    <row r="28" spans="1:26">
      <c r="A28" s="187">
        <f t="shared" si="0"/>
        <v>15</v>
      </c>
      <c r="B28" s="209" t="s">
        <v>45</v>
      </c>
      <c r="C28" s="386">
        <f>SUM(C14:C26)</f>
        <v>16518034.859859999</v>
      </c>
      <c r="D28" s="380" t="str">
        <f>"Sum Lines "&amp;A14&amp;" thru "&amp;A26</f>
        <v>Sum Lines 1 thru 13</v>
      </c>
      <c r="E28" s="214">
        <f>SUM(E14:E26)</f>
        <v>16256158.03473</v>
      </c>
      <c r="F28" s="376" t="str">
        <f>"Sum Lines "&amp;A14&amp;" thru "&amp;A26</f>
        <v>Sum Lines 1 thru 13</v>
      </c>
      <c r="G28" s="919">
        <f t="shared" si="1"/>
        <v>15</v>
      </c>
    </row>
    <row r="29" spans="1:26">
      <c r="A29" s="187">
        <f t="shared" si="0"/>
        <v>16</v>
      </c>
      <c r="B29" s="216"/>
      <c r="C29" s="387"/>
      <c r="D29" s="284"/>
      <c r="E29" s="217"/>
      <c r="F29" s="285"/>
      <c r="G29" s="919">
        <f t="shared" si="1"/>
        <v>16</v>
      </c>
    </row>
    <row r="30" spans="1:26">
      <c r="A30" s="187">
        <f t="shared" si="0"/>
        <v>17</v>
      </c>
      <c r="B30" s="209"/>
      <c r="C30" s="388"/>
      <c r="D30" s="389"/>
      <c r="E30" s="388"/>
      <c r="F30" s="390"/>
      <c r="G30" s="919">
        <f t="shared" si="1"/>
        <v>17</v>
      </c>
    </row>
    <row r="31" spans="1:26">
      <c r="A31" s="187">
        <f t="shared" si="0"/>
        <v>18</v>
      </c>
      <c r="B31" s="209" t="s">
        <v>46</v>
      </c>
      <c r="C31" s="386">
        <f>C28/13</f>
        <v>1270618.0661430769</v>
      </c>
      <c r="D31" s="380" t="str">
        <f>"Average of Lines "&amp;A14&amp;" thru "&amp;A26</f>
        <v>Average of Lines 1 thru 13</v>
      </c>
      <c r="E31" s="214">
        <f>E28/13</f>
        <v>1250473.6949792309</v>
      </c>
      <c r="F31" s="270" t="str">
        <f>Automation!B3&amp;" Form 1; Page 450.1; Sch. Pg. 200; Line 33; Col. b; 13-Month Avg."</f>
        <v>2019 Form 1; Page 450.1; Sch. Pg. 200; Line 33; Col. b; 13-Month Avg.</v>
      </c>
      <c r="G31" s="919">
        <f t="shared" si="1"/>
        <v>18</v>
      </c>
      <c r="H31" s="200"/>
    </row>
    <row r="32" spans="1:26">
      <c r="A32" s="187">
        <f t="shared" si="0"/>
        <v>19</v>
      </c>
      <c r="B32" s="216"/>
      <c r="C32" s="222"/>
      <c r="D32" s="286"/>
      <c r="E32" s="222"/>
      <c r="F32" s="286"/>
      <c r="G32" s="919">
        <f t="shared" si="1"/>
        <v>19</v>
      </c>
    </row>
    <row r="33" spans="1:7">
      <c r="A33" s="187">
        <f t="shared" si="0"/>
        <v>20</v>
      </c>
      <c r="B33" s="227"/>
      <c r="C33" s="227"/>
      <c r="D33" s="267"/>
      <c r="E33" s="227"/>
      <c r="F33" s="227"/>
      <c r="G33" s="919">
        <f t="shared" si="1"/>
        <v>20</v>
      </c>
    </row>
    <row r="34" spans="1:7">
      <c r="A34" s="187">
        <f t="shared" si="0"/>
        <v>21</v>
      </c>
      <c r="B34" s="347" t="s">
        <v>553</v>
      </c>
      <c r="C34" s="227"/>
      <c r="D34" s="267"/>
      <c r="E34" s="1106">
        <f>'AE-1A'!E31</f>
        <v>46.107692307692318</v>
      </c>
      <c r="F34" s="292" t="str">
        <f>"AE-1A; Line "&amp;'AE-1A'!A31</f>
        <v>AE-1A; Line 18</v>
      </c>
      <c r="G34" s="919">
        <f t="shared" si="1"/>
        <v>21</v>
      </c>
    </row>
    <row r="35" spans="1:7">
      <c r="A35" s="187">
        <f t="shared" si="0"/>
        <v>22</v>
      </c>
      <c r="B35" s="227"/>
      <c r="C35" s="227"/>
      <c r="D35" s="267"/>
      <c r="E35" s="227"/>
      <c r="F35" s="227"/>
      <c r="G35" s="919">
        <f t="shared" si="1"/>
        <v>22</v>
      </c>
    </row>
    <row r="36" spans="1:7" ht="16.5" thickBot="1">
      <c r="A36" s="187">
        <f t="shared" si="0"/>
        <v>23</v>
      </c>
      <c r="B36" s="170" t="s">
        <v>552</v>
      </c>
      <c r="C36" s="227"/>
      <c r="D36" s="267"/>
      <c r="E36" s="542">
        <f>E31+E34</f>
        <v>1250519.8026715387</v>
      </c>
      <c r="F36" s="187" t="str">
        <f>"Line "&amp;A31&amp;" + Line "&amp;A34</f>
        <v>Line 18 + Line 21</v>
      </c>
      <c r="G36" s="919">
        <f t="shared" si="1"/>
        <v>23</v>
      </c>
    </row>
    <row r="37" spans="1:7" ht="16.5" thickTop="1">
      <c r="A37" s="187"/>
      <c r="C37" s="227"/>
      <c r="D37" s="267"/>
      <c r="E37" s="227"/>
      <c r="F37" s="227"/>
    </row>
    <row r="38" spans="1:7">
      <c r="C38" s="227"/>
      <c r="D38" s="227"/>
      <c r="E38" s="278"/>
      <c r="F38" s="227"/>
    </row>
    <row r="39" spans="1:7" ht="18.75">
      <c r="A39" s="226">
        <v>1</v>
      </c>
      <c r="B39" s="227" t="s">
        <v>418</v>
      </c>
      <c r="C39" s="227"/>
      <c r="D39" s="227"/>
      <c r="E39" s="227"/>
      <c r="F39" s="227"/>
    </row>
    <row r="40" spans="1:7">
      <c r="B40" s="227" t="s">
        <v>419</v>
      </c>
      <c r="C40" s="227"/>
      <c r="D40" s="227"/>
      <c r="E40" s="227"/>
      <c r="F40" s="227"/>
    </row>
    <row r="41" spans="1:7">
      <c r="B41" s="227"/>
      <c r="C41" s="227"/>
      <c r="D41" s="227"/>
      <c r="E41" s="227"/>
      <c r="F41" s="227"/>
    </row>
    <row r="42" spans="1:7">
      <c r="B42" s="913"/>
      <c r="C42" s="227"/>
      <c r="D42" s="227"/>
      <c r="E42" s="227"/>
      <c r="F42" s="227"/>
    </row>
    <row r="43" spans="1:7">
      <c r="A43" s="279"/>
      <c r="B43" s="913"/>
    </row>
    <row r="46" spans="1:7">
      <c r="A46" s="279"/>
    </row>
    <row r="49" spans="1:1">
      <c r="A49" s="279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1" orientation="landscape" r:id="rId1"/>
  <headerFooter scaleWithDoc="0">
    <oddFooter>&amp;C&amp;"Times New Roman,Regular"&amp;10&amp;A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2:Z47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6" customWidth="1"/>
    <col min="4" max="4" width="25.140625" style="177" customWidth="1"/>
    <col min="5" max="5" width="18.5703125" style="170" customWidth="1"/>
    <col min="6" max="6" width="62.5703125" style="178" customWidth="1"/>
    <col min="7" max="7" width="5.140625" style="915" customWidth="1"/>
    <col min="8" max="8" width="24" style="170" customWidth="1"/>
    <col min="9" max="9" width="11" style="170" customWidth="1"/>
    <col min="10" max="10" width="7.140625" style="170" customWidth="1"/>
    <col min="11" max="11" width="9.140625" style="170" customWidth="1"/>
    <col min="12" max="12" width="14" style="170" customWidth="1"/>
    <col min="13" max="13" width="13.42578125" style="170" customWidth="1"/>
    <col min="14" max="16384" width="9.140625" style="170"/>
  </cols>
  <sheetData>
    <row r="2" spans="1:9">
      <c r="B2" s="1642" t="s">
        <v>17</v>
      </c>
      <c r="C2" s="1642"/>
      <c r="D2" s="1642"/>
      <c r="E2" s="1642"/>
      <c r="F2" s="1642"/>
    </row>
    <row r="3" spans="1:9">
      <c r="B3" s="1642" t="s">
        <v>104</v>
      </c>
      <c r="C3" s="1642"/>
      <c r="D3" s="1642"/>
      <c r="E3" s="1642"/>
      <c r="F3" s="1642"/>
    </row>
    <row r="4" spans="1:9">
      <c r="B4" s="1642" t="s">
        <v>103</v>
      </c>
      <c r="C4" s="1642"/>
      <c r="D4" s="1642"/>
      <c r="E4" s="1642"/>
      <c r="F4" s="1642"/>
    </row>
    <row r="5" spans="1:9">
      <c r="B5" s="1642" t="str">
        <f>"BASE PERIOD / TRUE UP PERIOD - 12/31/"&amp;Automation!$B$3&amp;" PER BOOK"</f>
        <v>BASE PERIOD / TRUE UP PERIOD - 12/31/2019 PER BOOK</v>
      </c>
      <c r="C5" s="1642"/>
      <c r="D5" s="1642"/>
      <c r="E5" s="1642"/>
      <c r="F5" s="1642"/>
    </row>
    <row r="6" spans="1:9">
      <c r="B6" s="1647" t="s">
        <v>2</v>
      </c>
      <c r="C6" s="1647"/>
      <c r="D6" s="1647"/>
      <c r="E6" s="1647"/>
      <c r="F6" s="1647"/>
    </row>
    <row r="7" spans="1:9">
      <c r="B7" s="172"/>
      <c r="C7" s="173"/>
      <c r="D7" s="174"/>
      <c r="E7" s="172"/>
      <c r="F7" s="175"/>
    </row>
    <row r="8" spans="1:9">
      <c r="B8" s="1642" t="s">
        <v>57</v>
      </c>
      <c r="C8" s="1642"/>
      <c r="D8" s="1642"/>
      <c r="E8" s="1642"/>
      <c r="F8" s="1642"/>
    </row>
    <row r="10" spans="1:9">
      <c r="B10" s="179"/>
      <c r="C10" s="180" t="s">
        <v>30</v>
      </c>
      <c r="D10" s="181"/>
      <c r="E10" s="180"/>
      <c r="F10" s="181"/>
    </row>
    <row r="11" spans="1:9">
      <c r="B11" s="182"/>
      <c r="C11" s="183" t="s">
        <v>58</v>
      </c>
      <c r="D11" s="184"/>
      <c r="E11" s="185" t="s">
        <v>58</v>
      </c>
      <c r="F11" s="186"/>
    </row>
    <row r="12" spans="1:9">
      <c r="A12" s="187" t="s">
        <v>3</v>
      </c>
      <c r="B12" s="189"/>
      <c r="C12" s="183" t="s">
        <v>102</v>
      </c>
      <c r="D12" s="184"/>
      <c r="E12" s="190" t="s">
        <v>102</v>
      </c>
      <c r="F12" s="186"/>
      <c r="G12" s="919" t="s">
        <v>3</v>
      </c>
    </row>
    <row r="13" spans="1:9" ht="18.75">
      <c r="A13" s="187" t="s">
        <v>24</v>
      </c>
      <c r="B13" s="191" t="s">
        <v>22</v>
      </c>
      <c r="C13" s="192" t="s">
        <v>34</v>
      </c>
      <c r="D13" s="193" t="s">
        <v>8</v>
      </c>
      <c r="E13" s="194" t="s">
        <v>414</v>
      </c>
      <c r="F13" s="193" t="s">
        <v>8</v>
      </c>
      <c r="G13" s="919" t="s">
        <v>24</v>
      </c>
    </row>
    <row r="14" spans="1:9">
      <c r="A14" s="187">
        <v>1</v>
      </c>
      <c r="B14" s="195" t="str">
        <f>"Dec-"&amp;RIGHT(Automation!$B$3-1,2)</f>
        <v>Dec-18</v>
      </c>
      <c r="C14" s="382">
        <v>0</v>
      </c>
      <c r="D14" s="270" t="s">
        <v>415</v>
      </c>
      <c r="E14" s="382">
        <f>C14</f>
        <v>0</v>
      </c>
      <c r="F14" s="270" t="s">
        <v>415</v>
      </c>
      <c r="G14" s="919">
        <f>A14</f>
        <v>1</v>
      </c>
      <c r="H14" s="199"/>
      <c r="I14" s="200"/>
    </row>
    <row r="15" spans="1:9">
      <c r="A15" s="187">
        <f>A14+1</f>
        <v>2</v>
      </c>
      <c r="B15" s="195" t="str">
        <f>"Jan-"&amp;RIGHT(Automation!$B$3,2)</f>
        <v>Jan-19</v>
      </c>
      <c r="C15" s="271">
        <v>0</v>
      </c>
      <c r="D15" s="202"/>
      <c r="E15" s="271">
        <f t="shared" ref="E15:E26" si="0">C15</f>
        <v>0</v>
      </c>
      <c r="F15" s="204"/>
      <c r="G15" s="919">
        <f>G14+1</f>
        <v>2</v>
      </c>
      <c r="H15" s="205"/>
    </row>
    <row r="16" spans="1:9">
      <c r="A16" s="187">
        <f t="shared" ref="A16:A32" si="1">A15+1</f>
        <v>3</v>
      </c>
      <c r="B16" s="195" t="s">
        <v>35</v>
      </c>
      <c r="C16" s="271">
        <v>0</v>
      </c>
      <c r="D16" s="202"/>
      <c r="E16" s="271">
        <f t="shared" si="0"/>
        <v>0</v>
      </c>
      <c r="F16" s="204"/>
      <c r="G16" s="919">
        <f t="shared" ref="G16:G32" si="2">G15+1</f>
        <v>3</v>
      </c>
      <c r="H16" s="205"/>
    </row>
    <row r="17" spans="1:26">
      <c r="A17" s="187">
        <f t="shared" si="1"/>
        <v>4</v>
      </c>
      <c r="B17" s="195" t="s">
        <v>36</v>
      </c>
      <c r="C17" s="271">
        <v>0</v>
      </c>
      <c r="D17" s="202"/>
      <c r="E17" s="271">
        <f t="shared" si="0"/>
        <v>0</v>
      </c>
      <c r="F17" s="204"/>
      <c r="G17" s="919">
        <f t="shared" si="2"/>
        <v>4</v>
      </c>
      <c r="H17" s="205"/>
    </row>
    <row r="18" spans="1:26">
      <c r="A18" s="187">
        <f t="shared" si="1"/>
        <v>5</v>
      </c>
      <c r="B18" s="195" t="s">
        <v>37</v>
      </c>
      <c r="C18" s="271">
        <v>0</v>
      </c>
      <c r="D18" s="202"/>
      <c r="E18" s="271">
        <f t="shared" si="0"/>
        <v>0</v>
      </c>
      <c r="F18" s="204"/>
      <c r="G18" s="919">
        <f t="shared" si="2"/>
        <v>5</v>
      </c>
      <c r="H18" s="205"/>
    </row>
    <row r="19" spans="1:26">
      <c r="A19" s="187">
        <f t="shared" si="1"/>
        <v>6</v>
      </c>
      <c r="B19" s="195" t="s">
        <v>38</v>
      </c>
      <c r="C19" s="271">
        <v>0</v>
      </c>
      <c r="D19" s="202"/>
      <c r="E19" s="271">
        <f t="shared" si="0"/>
        <v>0</v>
      </c>
      <c r="F19" s="204"/>
      <c r="G19" s="919">
        <f t="shared" si="2"/>
        <v>6</v>
      </c>
      <c r="H19" s="205"/>
    </row>
    <row r="20" spans="1:26">
      <c r="A20" s="187">
        <f>A19+1</f>
        <v>7</v>
      </c>
      <c r="B20" s="195" t="s">
        <v>39</v>
      </c>
      <c r="C20" s="271">
        <v>0</v>
      </c>
      <c r="D20" s="202"/>
      <c r="E20" s="271">
        <f t="shared" si="0"/>
        <v>0</v>
      </c>
      <c r="F20" s="204"/>
      <c r="G20" s="919">
        <f>G19+1</f>
        <v>7</v>
      </c>
      <c r="H20" s="205"/>
    </row>
    <row r="21" spans="1:26">
      <c r="A21" s="187">
        <f t="shared" si="1"/>
        <v>8</v>
      </c>
      <c r="B21" s="195" t="s">
        <v>40</v>
      </c>
      <c r="C21" s="271">
        <v>0</v>
      </c>
      <c r="D21" s="202"/>
      <c r="E21" s="271">
        <f t="shared" si="0"/>
        <v>0</v>
      </c>
      <c r="F21" s="204"/>
      <c r="G21" s="919">
        <f t="shared" si="2"/>
        <v>8</v>
      </c>
      <c r="H21" s="205"/>
    </row>
    <row r="22" spans="1:26">
      <c r="A22" s="187">
        <f t="shared" si="1"/>
        <v>9</v>
      </c>
      <c r="B22" s="195" t="s">
        <v>41</v>
      </c>
      <c r="C22" s="271">
        <v>0</v>
      </c>
      <c r="D22" s="202"/>
      <c r="E22" s="271">
        <f t="shared" si="0"/>
        <v>0</v>
      </c>
      <c r="F22" s="204"/>
      <c r="G22" s="919">
        <f t="shared" si="2"/>
        <v>9</v>
      </c>
      <c r="H22" s="205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</row>
    <row r="23" spans="1:26">
      <c r="A23" s="187">
        <f t="shared" si="1"/>
        <v>10</v>
      </c>
      <c r="B23" s="195" t="s">
        <v>42</v>
      </c>
      <c r="C23" s="271">
        <v>37.462499999999999</v>
      </c>
      <c r="D23" s="202"/>
      <c r="E23" s="271">
        <f t="shared" si="0"/>
        <v>37.462499999999999</v>
      </c>
      <c r="F23" s="204"/>
      <c r="G23" s="919">
        <f t="shared" si="2"/>
        <v>10</v>
      </c>
      <c r="H23" s="205"/>
    </row>
    <row r="24" spans="1:26">
      <c r="A24" s="187">
        <f t="shared" si="1"/>
        <v>11</v>
      </c>
      <c r="B24" s="195" t="s">
        <v>43</v>
      </c>
      <c r="C24" s="271">
        <v>112.3875</v>
      </c>
      <c r="D24" s="202"/>
      <c r="E24" s="271">
        <f t="shared" si="0"/>
        <v>112.3875</v>
      </c>
      <c r="F24" s="204"/>
      <c r="G24" s="919">
        <f t="shared" si="2"/>
        <v>11</v>
      </c>
      <c r="H24" s="205"/>
    </row>
    <row r="25" spans="1:26">
      <c r="A25" s="187">
        <f t="shared" si="1"/>
        <v>12</v>
      </c>
      <c r="B25" s="195" t="s">
        <v>44</v>
      </c>
      <c r="C25" s="271">
        <v>187.3125</v>
      </c>
      <c r="D25" s="202"/>
      <c r="E25" s="271">
        <f t="shared" si="0"/>
        <v>187.3125</v>
      </c>
      <c r="F25" s="204"/>
      <c r="G25" s="919">
        <f t="shared" si="2"/>
        <v>12</v>
      </c>
      <c r="H25" s="205"/>
    </row>
    <row r="26" spans="1:26">
      <c r="A26" s="187">
        <f t="shared" si="1"/>
        <v>13</v>
      </c>
      <c r="B26" s="207" t="str">
        <f>"Dec-"&amp;RIGHT(Automation!$B$3,2)</f>
        <v>Dec-19</v>
      </c>
      <c r="C26" s="251">
        <v>262.23750000000001</v>
      </c>
      <c r="D26" s="281" t="s">
        <v>415</v>
      </c>
      <c r="E26" s="251">
        <f t="shared" si="0"/>
        <v>262.23750000000001</v>
      </c>
      <c r="F26" s="281" t="s">
        <v>415</v>
      </c>
      <c r="G26" s="919">
        <f t="shared" si="2"/>
        <v>13</v>
      </c>
      <c r="H26" s="205"/>
      <c r="I26" s="200"/>
    </row>
    <row r="27" spans="1:26">
      <c r="A27" s="187">
        <f t="shared" si="1"/>
        <v>14</v>
      </c>
      <c r="B27" s="209"/>
      <c r="C27" s="210"/>
      <c r="D27" s="385"/>
      <c r="E27" s="212"/>
      <c r="F27" s="213"/>
      <c r="G27" s="919">
        <f t="shared" si="2"/>
        <v>14</v>
      </c>
      <c r="H27" s="205"/>
    </row>
    <row r="28" spans="1:26">
      <c r="A28" s="187">
        <f t="shared" si="1"/>
        <v>15</v>
      </c>
      <c r="B28" s="209" t="s">
        <v>45</v>
      </c>
      <c r="C28" s="214">
        <f>SUM(C14:C26)</f>
        <v>599.40000000000009</v>
      </c>
      <c r="D28" s="380" t="str">
        <f>"Sum Lines "&amp;A14&amp;" thru "&amp;A26</f>
        <v>Sum Lines 1 thru 13</v>
      </c>
      <c r="E28" s="214">
        <f>SUM(E14:E26)</f>
        <v>599.40000000000009</v>
      </c>
      <c r="F28" s="859" t="str">
        <f>"Sum Lines "&amp;A14&amp;" thru "&amp;A26</f>
        <v>Sum Lines 1 thru 13</v>
      </c>
      <c r="G28" s="919">
        <f t="shared" si="2"/>
        <v>15</v>
      </c>
      <c r="H28" s="205"/>
    </row>
    <row r="29" spans="1:26">
      <c r="A29" s="187">
        <f t="shared" si="1"/>
        <v>16</v>
      </c>
      <c r="B29" s="216"/>
      <c r="C29" s="217"/>
      <c r="D29" s="284"/>
      <c r="E29" s="217"/>
      <c r="F29" s="219"/>
      <c r="G29" s="919">
        <f t="shared" si="2"/>
        <v>16</v>
      </c>
      <c r="H29" s="205"/>
    </row>
    <row r="30" spans="1:26">
      <c r="A30" s="187">
        <f t="shared" si="1"/>
        <v>17</v>
      </c>
      <c r="B30" s="209"/>
      <c r="C30" s="214"/>
      <c r="D30" s="389"/>
      <c r="E30" s="214"/>
      <c r="F30" s="221"/>
      <c r="G30" s="919">
        <f t="shared" si="2"/>
        <v>17</v>
      </c>
      <c r="H30" s="205"/>
    </row>
    <row r="31" spans="1:26">
      <c r="A31" s="187">
        <f t="shared" si="1"/>
        <v>18</v>
      </c>
      <c r="B31" s="209" t="s">
        <v>46</v>
      </c>
      <c r="C31" s="214">
        <f>C28/13</f>
        <v>46.107692307692318</v>
      </c>
      <c r="D31" s="380" t="str">
        <f>"Average of Lines "&amp;A14&amp;" thru "&amp;A26</f>
        <v>Average of Lines 1 thru 13</v>
      </c>
      <c r="E31" s="214">
        <f>E28/13</f>
        <v>46.107692307692318</v>
      </c>
      <c r="F31" s="858" t="str">
        <f>"Average of Lines "&amp;A14&amp;" thru "&amp;A26</f>
        <v>Average of Lines 1 thru 13</v>
      </c>
      <c r="G31" s="919">
        <f t="shared" si="2"/>
        <v>18</v>
      </c>
      <c r="H31" s="199"/>
      <c r="I31" s="200"/>
    </row>
    <row r="32" spans="1:26">
      <c r="A32" s="187">
        <f t="shared" si="1"/>
        <v>19</v>
      </c>
      <c r="B32" s="216"/>
      <c r="C32" s="222"/>
      <c r="D32" s="219"/>
      <c r="E32" s="222"/>
      <c r="F32" s="219"/>
      <c r="G32" s="919">
        <f t="shared" si="2"/>
        <v>19</v>
      </c>
    </row>
    <row r="33" spans="1:6">
      <c r="A33" s="187"/>
      <c r="B33" s="206"/>
      <c r="C33" s="223"/>
      <c r="D33" s="224"/>
      <c r="E33" s="223"/>
      <c r="F33" s="224"/>
    </row>
    <row r="34" spans="1:6">
      <c r="C34" s="225"/>
      <c r="D34" s="224"/>
      <c r="E34" s="225"/>
    </row>
    <row r="35" spans="1:6" ht="18.75">
      <c r="A35" s="226">
        <v>1</v>
      </c>
      <c r="B35" s="988" t="s">
        <v>657</v>
      </c>
      <c r="C35" s="225"/>
      <c r="D35" s="178"/>
      <c r="E35" s="225"/>
    </row>
    <row r="36" spans="1:6">
      <c r="B36" s="988"/>
      <c r="C36" s="225"/>
      <c r="D36" s="178"/>
      <c r="E36" s="225"/>
    </row>
    <row r="37" spans="1:6">
      <c r="B37" s="987"/>
      <c r="C37" s="225"/>
      <c r="D37" s="178"/>
      <c r="E37" s="225"/>
    </row>
    <row r="38" spans="1:6">
      <c r="B38" s="987"/>
      <c r="C38" s="225"/>
      <c r="D38" s="178"/>
      <c r="E38" s="225"/>
    </row>
    <row r="39" spans="1:6">
      <c r="C39" s="228"/>
      <c r="E39" s="225"/>
    </row>
    <row r="40" spans="1:6">
      <c r="C40" s="228"/>
      <c r="E40" s="225"/>
    </row>
    <row r="41" spans="1:6">
      <c r="C41" s="228"/>
      <c r="E41" s="225"/>
    </row>
    <row r="42" spans="1:6">
      <c r="C42" s="228"/>
      <c r="E42" s="225"/>
    </row>
    <row r="43" spans="1:6">
      <c r="C43" s="228"/>
      <c r="E43" s="225"/>
    </row>
    <row r="44" spans="1:6">
      <c r="C44" s="228"/>
      <c r="E44" s="225"/>
    </row>
    <row r="45" spans="1:6">
      <c r="C45" s="228"/>
      <c r="E45" s="225"/>
    </row>
    <row r="46" spans="1:6">
      <c r="C46" s="228"/>
      <c r="E46" s="225"/>
    </row>
    <row r="47" spans="1:6">
      <c r="C47" s="228"/>
      <c r="E47" s="22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2:O171"/>
  <sheetViews>
    <sheetView zoomScale="80" zoomScaleNormal="80" workbookViewId="0">
      <selection activeCell="B7" sqref="B7:L7"/>
    </sheetView>
  </sheetViews>
  <sheetFormatPr defaultColWidth="9.140625" defaultRowHeight="15.75"/>
  <cols>
    <col min="1" max="1" width="5.140625" style="919" customWidth="1"/>
    <col min="2" max="2" width="11.140625" style="347" customWidth="1"/>
    <col min="3" max="3" width="32.5703125" style="347" customWidth="1"/>
    <col min="4" max="11" width="18.5703125" style="332" customWidth="1"/>
    <col min="12" max="12" width="24" style="332" customWidth="1"/>
    <col min="13" max="13" width="5.140625" style="919" customWidth="1"/>
    <col min="14" max="18" width="9.140625" style="347"/>
    <col min="19" max="19" width="10" style="347" bestFit="1" customWidth="1"/>
    <col min="20" max="16384" width="9.140625" style="347"/>
  </cols>
  <sheetData>
    <row r="2" spans="1:13" s="582" customFormat="1">
      <c r="A2" s="915"/>
      <c r="B2" s="1642" t="s">
        <v>17</v>
      </c>
      <c r="C2" s="1642"/>
      <c r="D2" s="1642"/>
      <c r="E2" s="1642"/>
      <c r="F2" s="1642"/>
      <c r="G2" s="1642"/>
      <c r="H2" s="1642"/>
      <c r="I2" s="1642"/>
      <c r="J2" s="1642"/>
      <c r="K2" s="1642"/>
      <c r="L2" s="1642"/>
      <c r="M2" s="915"/>
    </row>
    <row r="3" spans="1:13" s="582" customFormat="1">
      <c r="A3" s="915"/>
      <c r="B3" s="1642" t="s">
        <v>59</v>
      </c>
      <c r="C3" s="1642"/>
      <c r="D3" s="1642"/>
      <c r="E3" s="1642"/>
      <c r="F3" s="1642"/>
      <c r="G3" s="1642"/>
      <c r="H3" s="1642"/>
      <c r="I3" s="1642"/>
      <c r="J3" s="1642"/>
      <c r="K3" s="1642"/>
      <c r="L3" s="1642"/>
      <c r="M3" s="915"/>
    </row>
    <row r="4" spans="1:13">
      <c r="B4" s="1642" t="s">
        <v>110</v>
      </c>
      <c r="C4" s="1642"/>
      <c r="D4" s="1642"/>
      <c r="E4" s="1642"/>
      <c r="F4" s="1642"/>
      <c r="G4" s="1642"/>
      <c r="H4" s="1642"/>
      <c r="I4" s="1642"/>
      <c r="J4" s="1642"/>
      <c r="K4" s="1642"/>
      <c r="L4" s="1642"/>
    </row>
    <row r="5" spans="1:13">
      <c r="B5" s="1642" t="s">
        <v>103</v>
      </c>
      <c r="C5" s="1642"/>
      <c r="D5" s="1642"/>
      <c r="E5" s="1642"/>
      <c r="F5" s="1642"/>
      <c r="G5" s="1642"/>
      <c r="H5" s="1642"/>
      <c r="I5" s="1642"/>
      <c r="J5" s="1642"/>
      <c r="K5" s="1642"/>
      <c r="L5" s="1642"/>
    </row>
    <row r="6" spans="1:13">
      <c r="B6" s="1642" t="str">
        <f>"BALANCES AS OF 12/31/"&amp;Automation!$B$3-1</f>
        <v>BALANCES AS OF 12/31/2018</v>
      </c>
      <c r="C6" s="1642"/>
      <c r="D6" s="1642"/>
      <c r="E6" s="1642"/>
      <c r="F6" s="1642"/>
      <c r="G6" s="1642"/>
      <c r="H6" s="1642"/>
      <c r="I6" s="1642"/>
      <c r="J6" s="1642"/>
      <c r="K6" s="1642"/>
      <c r="L6" s="1642"/>
    </row>
    <row r="7" spans="1:13">
      <c r="B7" s="1647" t="s">
        <v>2</v>
      </c>
      <c r="C7" s="1642"/>
      <c r="D7" s="1642"/>
      <c r="E7" s="1642"/>
      <c r="F7" s="1642"/>
      <c r="G7" s="1642"/>
      <c r="H7" s="1642"/>
      <c r="I7" s="1642"/>
      <c r="J7" s="1642"/>
      <c r="K7" s="1642"/>
      <c r="L7" s="1642"/>
    </row>
    <row r="8" spans="1:13">
      <c r="C8" s="172"/>
      <c r="D8" s="173"/>
      <c r="E8" s="293"/>
      <c r="F8" s="293"/>
      <c r="G8" s="293"/>
      <c r="H8" s="293"/>
      <c r="I8" s="293"/>
      <c r="J8" s="293"/>
      <c r="K8" s="293"/>
      <c r="L8" s="293"/>
    </row>
    <row r="9" spans="1:13" s="171" customFormat="1">
      <c r="A9" s="915"/>
      <c r="B9" s="371"/>
      <c r="C9" s="294"/>
      <c r="D9" s="295" t="s">
        <v>28</v>
      </c>
      <c r="E9" s="296" t="s">
        <v>29</v>
      </c>
      <c r="F9" s="296" t="s">
        <v>61</v>
      </c>
      <c r="G9" s="296" t="s">
        <v>62</v>
      </c>
      <c r="H9" s="296" t="s">
        <v>63</v>
      </c>
      <c r="I9" s="296" t="s">
        <v>64</v>
      </c>
      <c r="J9" s="296" t="s">
        <v>65</v>
      </c>
      <c r="K9" s="391" t="s">
        <v>66</v>
      </c>
      <c r="L9" s="245"/>
      <c r="M9" s="915"/>
    </row>
    <row r="10" spans="1:13">
      <c r="B10" s="392"/>
      <c r="C10" s="298"/>
      <c r="D10" s="299"/>
      <c r="E10" s="300"/>
      <c r="F10" s="393"/>
      <c r="G10" s="300"/>
      <c r="H10" s="300"/>
      <c r="I10" s="300"/>
      <c r="J10" s="300"/>
      <c r="K10" s="394" t="s">
        <v>30</v>
      </c>
      <c r="L10" s="297"/>
    </row>
    <row r="11" spans="1:13">
      <c r="B11" s="392"/>
      <c r="C11" s="298"/>
      <c r="D11" s="299"/>
      <c r="E11" s="300" t="s">
        <v>67</v>
      </c>
      <c r="F11" s="393" t="s">
        <v>55</v>
      </c>
      <c r="G11" s="300" t="s">
        <v>58</v>
      </c>
      <c r="H11" s="300" t="s">
        <v>58</v>
      </c>
      <c r="I11" s="300" t="s">
        <v>58</v>
      </c>
      <c r="J11" s="300" t="s">
        <v>58</v>
      </c>
      <c r="K11" s="393" t="s">
        <v>58</v>
      </c>
      <c r="L11" s="275"/>
    </row>
    <row r="12" spans="1:13">
      <c r="B12" s="395"/>
      <c r="C12" s="303"/>
      <c r="D12" s="305" t="s">
        <v>30</v>
      </c>
      <c r="E12" s="300" t="s">
        <v>108</v>
      </c>
      <c r="F12" s="300" t="s">
        <v>108</v>
      </c>
      <c r="G12" s="300" t="s">
        <v>108</v>
      </c>
      <c r="H12" s="300" t="s">
        <v>108</v>
      </c>
      <c r="I12" s="300" t="s">
        <v>108</v>
      </c>
      <c r="J12" s="300" t="s">
        <v>108</v>
      </c>
      <c r="K12" s="393" t="s">
        <v>102</v>
      </c>
      <c r="L12" s="182"/>
    </row>
    <row r="13" spans="1:13">
      <c r="A13" s="919" t="s">
        <v>3</v>
      </c>
      <c r="B13" s="361"/>
      <c r="C13" s="209"/>
      <c r="D13" s="305" t="s">
        <v>58</v>
      </c>
      <c r="E13" s="300" t="s">
        <v>109</v>
      </c>
      <c r="F13" s="300" t="s">
        <v>109</v>
      </c>
      <c r="G13" s="300" t="s">
        <v>109</v>
      </c>
      <c r="H13" s="300" t="s">
        <v>109</v>
      </c>
      <c r="I13" s="300" t="s">
        <v>109</v>
      </c>
      <c r="J13" s="300" t="s">
        <v>109</v>
      </c>
      <c r="K13" s="393" t="s">
        <v>33</v>
      </c>
      <c r="L13" s="182"/>
      <c r="M13" s="919" t="s">
        <v>3</v>
      </c>
    </row>
    <row r="14" spans="1:13">
      <c r="A14" s="919" t="s">
        <v>24</v>
      </c>
      <c r="B14" s="353" t="s">
        <v>70</v>
      </c>
      <c r="C14" s="191" t="s">
        <v>71</v>
      </c>
      <c r="D14" s="396" t="s">
        <v>108</v>
      </c>
      <c r="E14" s="308" t="s">
        <v>72</v>
      </c>
      <c r="F14" s="308" t="s">
        <v>73</v>
      </c>
      <c r="G14" s="308" t="s">
        <v>107</v>
      </c>
      <c r="H14" s="308" t="s">
        <v>106</v>
      </c>
      <c r="I14" s="308" t="s">
        <v>105</v>
      </c>
      <c r="J14" s="308" t="s">
        <v>76</v>
      </c>
      <c r="K14" s="194" t="s">
        <v>77</v>
      </c>
      <c r="L14" s="191" t="s">
        <v>8</v>
      </c>
      <c r="M14" s="919" t="s">
        <v>24</v>
      </c>
    </row>
    <row r="15" spans="1:13">
      <c r="B15" s="303"/>
      <c r="C15" s="303" t="s">
        <v>78</v>
      </c>
      <c r="D15" s="310"/>
      <c r="E15" s="303"/>
      <c r="F15" s="303"/>
      <c r="G15" s="303"/>
      <c r="H15" s="303"/>
      <c r="I15" s="303"/>
      <c r="J15" s="303"/>
      <c r="K15" s="311"/>
      <c r="L15" s="275"/>
    </row>
    <row r="16" spans="1:13">
      <c r="A16" s="919">
        <v>1</v>
      </c>
      <c r="B16" s="343">
        <v>303</v>
      </c>
      <c r="C16" s="94" t="s">
        <v>79</v>
      </c>
      <c r="D16" s="314">
        <v>0</v>
      </c>
      <c r="E16" s="314">
        <v>0</v>
      </c>
      <c r="F16" s="314">
        <v>0</v>
      </c>
      <c r="G16" s="314">
        <v>0</v>
      </c>
      <c r="H16" s="314">
        <v>0</v>
      </c>
      <c r="I16" s="314">
        <v>0</v>
      </c>
      <c r="J16" s="314">
        <v>0</v>
      </c>
      <c r="K16" s="233">
        <f>SUM(D16:J16)</f>
        <v>0</v>
      </c>
      <c r="L16" s="275" t="s">
        <v>415</v>
      </c>
      <c r="M16" s="919">
        <f>A16</f>
        <v>1</v>
      </c>
    </row>
    <row r="17" spans="1:15">
      <c r="A17" s="919">
        <f>A16+1</f>
        <v>2</v>
      </c>
      <c r="B17" s="344">
        <v>310.10000000000002</v>
      </c>
      <c r="C17" s="94" t="s">
        <v>80</v>
      </c>
      <c r="D17" s="316">
        <v>0</v>
      </c>
      <c r="E17" s="317">
        <v>0</v>
      </c>
      <c r="F17" s="317">
        <v>0</v>
      </c>
      <c r="G17" s="317">
        <v>0</v>
      </c>
      <c r="H17" s="317">
        <v>0</v>
      </c>
      <c r="I17" s="317">
        <v>0</v>
      </c>
      <c r="J17" s="317">
        <v>0</v>
      </c>
      <c r="K17" s="234">
        <f>SUM(D17:J17)</f>
        <v>0</v>
      </c>
      <c r="L17" s="275" t="s">
        <v>415</v>
      </c>
      <c r="M17" s="919">
        <f>M16+1</f>
        <v>2</v>
      </c>
    </row>
    <row r="18" spans="1:15">
      <c r="A18" s="919">
        <f t="shared" ref="A18:A36" si="0">A17+1</f>
        <v>3</v>
      </c>
      <c r="B18" s="343">
        <v>340</v>
      </c>
      <c r="C18" s="345" t="s">
        <v>81</v>
      </c>
      <c r="D18" s="316">
        <v>0</v>
      </c>
      <c r="E18" s="317">
        <v>1.1260899999999998</v>
      </c>
      <c r="F18" s="317">
        <v>0</v>
      </c>
      <c r="G18" s="317">
        <v>0</v>
      </c>
      <c r="H18" s="317">
        <v>0</v>
      </c>
      <c r="I18" s="317">
        <v>0</v>
      </c>
      <c r="J18" s="317">
        <v>0</v>
      </c>
      <c r="K18" s="318">
        <f>SUM(D18:J18)</f>
        <v>1.1260899999999998</v>
      </c>
      <c r="L18" s="275" t="s">
        <v>415</v>
      </c>
      <c r="M18" s="919">
        <f t="shared" ref="M18:M36" si="1">M17+1</f>
        <v>3</v>
      </c>
    </row>
    <row r="19" spans="1:15">
      <c r="A19" s="919">
        <f t="shared" si="0"/>
        <v>4</v>
      </c>
      <c r="B19" s="343">
        <v>360</v>
      </c>
      <c r="C19" s="345" t="s">
        <v>81</v>
      </c>
      <c r="D19" s="316">
        <v>0</v>
      </c>
      <c r="E19" s="317">
        <v>0</v>
      </c>
      <c r="F19" s="317">
        <v>52.354930000000003</v>
      </c>
      <c r="G19" s="317">
        <v>0</v>
      </c>
      <c r="H19" s="317">
        <v>0</v>
      </c>
      <c r="I19" s="317">
        <v>0</v>
      </c>
      <c r="J19" s="317">
        <v>0</v>
      </c>
      <c r="K19" s="318">
        <f>SUM(D19:J19)</f>
        <v>52.354930000000003</v>
      </c>
      <c r="L19" s="275" t="s">
        <v>415</v>
      </c>
      <c r="M19" s="919">
        <f t="shared" si="1"/>
        <v>4</v>
      </c>
    </row>
    <row r="20" spans="1:15">
      <c r="A20" s="919">
        <f t="shared" si="0"/>
        <v>5</v>
      </c>
      <c r="B20" s="343">
        <v>361</v>
      </c>
      <c r="C20" s="94" t="s">
        <v>82</v>
      </c>
      <c r="D20" s="316">
        <v>0</v>
      </c>
      <c r="E20" s="317">
        <v>0</v>
      </c>
      <c r="F20" s="317">
        <v>392.33690000000001</v>
      </c>
      <c r="G20" s="317">
        <v>0</v>
      </c>
      <c r="H20" s="317">
        <v>0</v>
      </c>
      <c r="I20" s="317">
        <v>0</v>
      </c>
      <c r="J20" s="317">
        <v>0</v>
      </c>
      <c r="K20" s="318">
        <f>SUM(D20:J20)</f>
        <v>392.33690000000001</v>
      </c>
      <c r="L20" s="275" t="s">
        <v>415</v>
      </c>
      <c r="M20" s="919">
        <f t="shared" si="1"/>
        <v>5</v>
      </c>
    </row>
    <row r="21" spans="1:15">
      <c r="A21" s="919">
        <f t="shared" si="0"/>
        <v>6</v>
      </c>
      <c r="B21" s="275"/>
      <c r="C21" s="303"/>
      <c r="D21" s="310"/>
      <c r="E21" s="303"/>
      <c r="F21" s="303"/>
      <c r="G21" s="303"/>
      <c r="H21" s="303"/>
      <c r="I21" s="303"/>
      <c r="J21" s="303"/>
      <c r="K21" s="318"/>
      <c r="L21" s="275"/>
      <c r="M21" s="919">
        <f t="shared" si="1"/>
        <v>6</v>
      </c>
    </row>
    <row r="22" spans="1:15" s="582" customFormat="1">
      <c r="A22" s="919">
        <f t="shared" si="0"/>
        <v>7</v>
      </c>
      <c r="B22" s="319" t="s">
        <v>83</v>
      </c>
      <c r="C22" s="320" t="s">
        <v>84</v>
      </c>
      <c r="D22" s="321">
        <f t="shared" ref="D22:I22" si="2">SUM(D16:D21)</f>
        <v>0</v>
      </c>
      <c r="E22" s="321">
        <f t="shared" si="2"/>
        <v>1.1260899999999998</v>
      </c>
      <c r="F22" s="321">
        <f>SUM(F16:F21)</f>
        <v>444.69183000000004</v>
      </c>
      <c r="G22" s="321">
        <f t="shared" si="2"/>
        <v>0</v>
      </c>
      <c r="H22" s="321">
        <f t="shared" si="2"/>
        <v>0</v>
      </c>
      <c r="I22" s="321">
        <f t="shared" si="2"/>
        <v>0</v>
      </c>
      <c r="J22" s="321">
        <f>SUM(J16:J21)</f>
        <v>0</v>
      </c>
      <c r="K22" s="322">
        <f>SUM(K16:K21)</f>
        <v>445.81792000000002</v>
      </c>
      <c r="L22" s="323" t="str">
        <f>"Sum Lines "&amp;A16&amp;" thru "&amp;A20</f>
        <v>Sum Lines 1 thru 5</v>
      </c>
      <c r="M22" s="919">
        <f t="shared" si="1"/>
        <v>7</v>
      </c>
    </row>
    <row r="23" spans="1:15">
      <c r="A23" s="919">
        <f t="shared" si="0"/>
        <v>8</v>
      </c>
      <c r="B23" s="275"/>
      <c r="C23" s="303"/>
      <c r="D23" s="324"/>
      <c r="E23" s="325"/>
      <c r="F23" s="325"/>
      <c r="G23" s="325"/>
      <c r="H23" s="325"/>
      <c r="I23" s="325"/>
      <c r="J23" s="325"/>
      <c r="K23" s="398"/>
      <c r="L23" s="275"/>
      <c r="M23" s="919">
        <f t="shared" si="1"/>
        <v>8</v>
      </c>
    </row>
    <row r="24" spans="1:15">
      <c r="A24" s="919">
        <f t="shared" si="0"/>
        <v>9</v>
      </c>
      <c r="B24" s="343">
        <v>350</v>
      </c>
      <c r="C24" s="94" t="s">
        <v>81</v>
      </c>
      <c r="D24" s="314">
        <v>24265.432989999998</v>
      </c>
      <c r="E24" s="315">
        <v>0</v>
      </c>
      <c r="F24" s="314">
        <v>0</v>
      </c>
      <c r="G24" s="314">
        <v>0</v>
      </c>
      <c r="H24" s="314">
        <v>0</v>
      </c>
      <c r="I24" s="315">
        <v>0</v>
      </c>
      <c r="J24" s="315">
        <v>-330.98513000000003</v>
      </c>
      <c r="K24" s="233">
        <f t="shared" ref="K24:K32" si="3">SUM(D24:J24)</f>
        <v>23934.447859999997</v>
      </c>
      <c r="L24" s="275" t="s">
        <v>415</v>
      </c>
      <c r="M24" s="919">
        <f t="shared" si="1"/>
        <v>9</v>
      </c>
    </row>
    <row r="25" spans="1:15">
      <c r="A25" s="919">
        <f t="shared" si="0"/>
        <v>10</v>
      </c>
      <c r="B25" s="343">
        <v>352</v>
      </c>
      <c r="C25" s="94" t="s">
        <v>82</v>
      </c>
      <c r="D25" s="324">
        <v>81405.142129999993</v>
      </c>
      <c r="E25" s="317">
        <v>0</v>
      </c>
      <c r="F25" s="317">
        <v>0</v>
      </c>
      <c r="G25" s="324">
        <v>-423.49828000000002</v>
      </c>
      <c r="H25" s="316">
        <v>0</v>
      </c>
      <c r="I25" s="317">
        <v>0</v>
      </c>
      <c r="J25" s="325">
        <v>-14032.55299</v>
      </c>
      <c r="K25" s="318">
        <f t="shared" si="3"/>
        <v>66949.090859999997</v>
      </c>
      <c r="L25" s="275" t="s">
        <v>415</v>
      </c>
      <c r="M25" s="919">
        <f t="shared" si="1"/>
        <v>10</v>
      </c>
      <c r="O25" s="240"/>
    </row>
    <row r="26" spans="1:15">
      <c r="A26" s="919">
        <f t="shared" si="0"/>
        <v>11</v>
      </c>
      <c r="B26" s="343">
        <v>353</v>
      </c>
      <c r="C26" s="94" t="s">
        <v>85</v>
      </c>
      <c r="D26" s="324">
        <v>358277.25706999999</v>
      </c>
      <c r="E26" s="317">
        <v>0</v>
      </c>
      <c r="F26" s="317">
        <v>0</v>
      </c>
      <c r="G26" s="324">
        <v>-2374.1533799999997</v>
      </c>
      <c r="H26" s="316">
        <v>-392.40328000000005</v>
      </c>
      <c r="I26" s="317">
        <v>0</v>
      </c>
      <c r="J26" s="325">
        <v>-1444.59915</v>
      </c>
      <c r="K26" s="318">
        <f t="shared" si="3"/>
        <v>354066.10125999997</v>
      </c>
      <c r="L26" s="275" t="s">
        <v>415</v>
      </c>
      <c r="M26" s="919">
        <f t="shared" si="1"/>
        <v>11</v>
      </c>
    </row>
    <row r="27" spans="1:15">
      <c r="A27" s="919">
        <f t="shared" si="0"/>
        <v>12</v>
      </c>
      <c r="B27" s="343">
        <v>354</v>
      </c>
      <c r="C27" s="94" t="s">
        <v>86</v>
      </c>
      <c r="D27" s="324">
        <v>188386.41672000001</v>
      </c>
      <c r="E27" s="317">
        <v>0</v>
      </c>
      <c r="F27" s="317">
        <v>0</v>
      </c>
      <c r="G27" s="324">
        <v>0</v>
      </c>
      <c r="H27" s="316">
        <v>0</v>
      </c>
      <c r="I27" s="317">
        <v>0</v>
      </c>
      <c r="J27" s="325">
        <v>0</v>
      </c>
      <c r="K27" s="318">
        <f t="shared" si="3"/>
        <v>188386.41672000001</v>
      </c>
      <c r="L27" s="275" t="s">
        <v>415</v>
      </c>
      <c r="M27" s="919">
        <f t="shared" si="1"/>
        <v>12</v>
      </c>
    </row>
    <row r="28" spans="1:15">
      <c r="A28" s="919">
        <f t="shared" si="0"/>
        <v>13</v>
      </c>
      <c r="B28" s="343">
        <v>355</v>
      </c>
      <c r="C28" s="94" t="s">
        <v>87</v>
      </c>
      <c r="D28" s="324">
        <v>124281.54041</v>
      </c>
      <c r="E28" s="317">
        <v>0</v>
      </c>
      <c r="F28" s="317">
        <v>0</v>
      </c>
      <c r="G28" s="324">
        <v>0</v>
      </c>
      <c r="H28" s="316">
        <v>0</v>
      </c>
      <c r="I28" s="317">
        <v>0</v>
      </c>
      <c r="J28" s="325">
        <v>0</v>
      </c>
      <c r="K28" s="318">
        <f t="shared" si="3"/>
        <v>124281.54041</v>
      </c>
      <c r="L28" s="275" t="s">
        <v>415</v>
      </c>
      <c r="M28" s="919">
        <f t="shared" si="1"/>
        <v>13</v>
      </c>
    </row>
    <row r="29" spans="1:15">
      <c r="A29" s="919">
        <f t="shared" si="0"/>
        <v>14</v>
      </c>
      <c r="B29" s="343">
        <v>356</v>
      </c>
      <c r="C29" s="94" t="s">
        <v>88</v>
      </c>
      <c r="D29" s="324">
        <v>246075.50532</v>
      </c>
      <c r="E29" s="317">
        <v>0</v>
      </c>
      <c r="F29" s="317">
        <v>0</v>
      </c>
      <c r="G29" s="324">
        <v>0</v>
      </c>
      <c r="H29" s="316">
        <v>0</v>
      </c>
      <c r="I29" s="317">
        <v>0</v>
      </c>
      <c r="J29" s="325">
        <v>0</v>
      </c>
      <c r="K29" s="318">
        <f t="shared" si="3"/>
        <v>246075.50532</v>
      </c>
      <c r="L29" s="275" t="s">
        <v>415</v>
      </c>
      <c r="M29" s="919">
        <f t="shared" si="1"/>
        <v>14</v>
      </c>
    </row>
    <row r="30" spans="1:15">
      <c r="A30" s="919">
        <f t="shared" si="0"/>
        <v>15</v>
      </c>
      <c r="B30" s="343">
        <v>357</v>
      </c>
      <c r="C30" s="94" t="s">
        <v>89</v>
      </c>
      <c r="D30" s="324">
        <v>69948.701680000013</v>
      </c>
      <c r="E30" s="317">
        <v>0</v>
      </c>
      <c r="F30" s="317">
        <v>0</v>
      </c>
      <c r="G30" s="324">
        <v>0</v>
      </c>
      <c r="H30" s="316">
        <v>0</v>
      </c>
      <c r="I30" s="317">
        <v>0</v>
      </c>
      <c r="J30" s="325">
        <v>0</v>
      </c>
      <c r="K30" s="318">
        <f t="shared" si="3"/>
        <v>69948.701680000013</v>
      </c>
      <c r="L30" s="275" t="s">
        <v>415</v>
      </c>
      <c r="M30" s="919">
        <f t="shared" si="1"/>
        <v>15</v>
      </c>
    </row>
    <row r="31" spans="1:15">
      <c r="A31" s="919">
        <f t="shared" si="0"/>
        <v>16</v>
      </c>
      <c r="B31" s="343">
        <v>358</v>
      </c>
      <c r="C31" s="94" t="s">
        <v>90</v>
      </c>
      <c r="D31" s="324">
        <v>68576.952059999996</v>
      </c>
      <c r="E31" s="317">
        <v>0</v>
      </c>
      <c r="F31" s="317">
        <v>0</v>
      </c>
      <c r="G31" s="324">
        <v>-494.76971000000003</v>
      </c>
      <c r="H31" s="316">
        <v>0</v>
      </c>
      <c r="I31" s="317">
        <v>0</v>
      </c>
      <c r="J31" s="325">
        <v>0</v>
      </c>
      <c r="K31" s="318">
        <f t="shared" si="3"/>
        <v>68082.182350000003</v>
      </c>
      <c r="L31" s="275" t="s">
        <v>415</v>
      </c>
      <c r="M31" s="919">
        <f t="shared" si="1"/>
        <v>16</v>
      </c>
    </row>
    <row r="32" spans="1:15">
      <c r="A32" s="919">
        <f t="shared" si="0"/>
        <v>17</v>
      </c>
      <c r="B32" s="343">
        <v>359</v>
      </c>
      <c r="C32" s="94" t="s">
        <v>91</v>
      </c>
      <c r="D32" s="324">
        <v>38209.578500000003</v>
      </c>
      <c r="E32" s="317">
        <v>0</v>
      </c>
      <c r="F32" s="317">
        <v>0</v>
      </c>
      <c r="G32" s="324">
        <v>0</v>
      </c>
      <c r="H32" s="316">
        <v>0</v>
      </c>
      <c r="I32" s="317">
        <v>0</v>
      </c>
      <c r="J32" s="325">
        <v>0</v>
      </c>
      <c r="K32" s="318">
        <f t="shared" si="3"/>
        <v>38209.578500000003</v>
      </c>
      <c r="L32" s="275" t="s">
        <v>415</v>
      </c>
      <c r="M32" s="919">
        <f t="shared" si="1"/>
        <v>17</v>
      </c>
    </row>
    <row r="33" spans="1:13">
      <c r="A33" s="919">
        <f t="shared" si="0"/>
        <v>18</v>
      </c>
      <c r="B33" s="399"/>
      <c r="C33" s="303"/>
      <c r="D33" s="324"/>
      <c r="F33" s="333"/>
      <c r="G33" s="333"/>
      <c r="H33" s="333"/>
      <c r="I33" s="333"/>
      <c r="J33" s="325"/>
      <c r="K33" s="400"/>
      <c r="L33" s="312"/>
      <c r="M33" s="919">
        <f t="shared" si="1"/>
        <v>18</v>
      </c>
    </row>
    <row r="34" spans="1:13">
      <c r="A34" s="919">
        <f t="shared" si="0"/>
        <v>19</v>
      </c>
      <c r="B34" s="335" t="s">
        <v>83</v>
      </c>
      <c r="C34" s="320" t="s">
        <v>57</v>
      </c>
      <c r="D34" s="321">
        <f t="shared" ref="D34:I34" si="4">SUM(D24:D33)</f>
        <v>1199426.52688</v>
      </c>
      <c r="E34" s="321">
        <f t="shared" si="4"/>
        <v>0</v>
      </c>
      <c r="F34" s="321">
        <f>SUM(F24:F33)</f>
        <v>0</v>
      </c>
      <c r="G34" s="321">
        <f t="shared" si="4"/>
        <v>-3292.4213699999996</v>
      </c>
      <c r="H34" s="321">
        <f t="shared" si="4"/>
        <v>-392.40328000000005</v>
      </c>
      <c r="I34" s="321">
        <f t="shared" si="4"/>
        <v>0</v>
      </c>
      <c r="J34" s="321">
        <f>SUM(J24:J33)</f>
        <v>-15808.137270000001</v>
      </c>
      <c r="K34" s="322">
        <f>SUM(K24:K33)</f>
        <v>1179933.5649599999</v>
      </c>
      <c r="L34" s="336" t="str">
        <f>"Sum Lines "&amp;A24&amp;" thru "&amp;A32</f>
        <v>Sum Lines 9 thru 17</v>
      </c>
      <c r="M34" s="919">
        <f t="shared" si="1"/>
        <v>19</v>
      </c>
    </row>
    <row r="35" spans="1:13">
      <c r="A35" s="919">
        <f t="shared" si="0"/>
        <v>20</v>
      </c>
      <c r="B35" s="395"/>
      <c r="D35" s="337"/>
      <c r="J35" s="326"/>
      <c r="K35" s="326"/>
      <c r="L35" s="338"/>
      <c r="M35" s="919">
        <f t="shared" si="1"/>
        <v>20</v>
      </c>
    </row>
    <row r="36" spans="1:13">
      <c r="A36" s="919">
        <f t="shared" si="0"/>
        <v>21</v>
      </c>
      <c r="B36" s="401" t="s">
        <v>92</v>
      </c>
      <c r="C36" s="340"/>
      <c r="D36" s="341">
        <f t="shared" ref="D36:I36" si="5">D34+D22</f>
        <v>1199426.52688</v>
      </c>
      <c r="E36" s="341">
        <f t="shared" si="5"/>
        <v>1.1260899999999998</v>
      </c>
      <c r="F36" s="341">
        <f>F34+F22</f>
        <v>444.69183000000004</v>
      </c>
      <c r="G36" s="341">
        <f t="shared" si="5"/>
        <v>-3292.4213699999996</v>
      </c>
      <c r="H36" s="341">
        <f t="shared" si="5"/>
        <v>-392.40328000000005</v>
      </c>
      <c r="I36" s="342">
        <f t="shared" si="5"/>
        <v>0</v>
      </c>
      <c r="J36" s="341">
        <f>J34+J22</f>
        <v>-15808.137270000001</v>
      </c>
      <c r="K36" s="341">
        <f>K34+K22</f>
        <v>1180379.3828799999</v>
      </c>
      <c r="L36" s="323" t="str">
        <f>"Line "&amp;A22&amp;" + Line "&amp;A34</f>
        <v>Line 7 + Line 19</v>
      </c>
      <c r="M36" s="919">
        <f t="shared" si="1"/>
        <v>21</v>
      </c>
    </row>
    <row r="37" spans="1:13">
      <c r="D37" s="347"/>
      <c r="K37" s="402"/>
      <c r="L37" s="402"/>
    </row>
    <row r="38" spans="1:13">
      <c r="D38" s="347"/>
      <c r="K38" s="402"/>
      <c r="L38" s="402"/>
    </row>
    <row r="39" spans="1:13">
      <c r="B39" s="347" t="s">
        <v>420</v>
      </c>
      <c r="D39" s="347"/>
    </row>
    <row r="40" spans="1:13">
      <c r="D40" s="347"/>
    </row>
    <row r="41" spans="1:13">
      <c r="D41" s="347"/>
    </row>
    <row r="42" spans="1:13">
      <c r="D42" s="347"/>
    </row>
    <row r="43" spans="1:13">
      <c r="B43" s="913"/>
      <c r="D43" s="347"/>
    </row>
    <row r="44" spans="1:13">
      <c r="D44" s="347"/>
    </row>
    <row r="45" spans="1:13">
      <c r="D45" s="347"/>
    </row>
    <row r="46" spans="1:13">
      <c r="D46" s="347"/>
    </row>
    <row r="47" spans="1:13">
      <c r="D47" s="347"/>
    </row>
    <row r="48" spans="1:13">
      <c r="D48" s="347"/>
    </row>
    <row r="49" spans="4:4">
      <c r="D49" s="347"/>
    </row>
    <row r="50" spans="4:4">
      <c r="D50" s="347"/>
    </row>
    <row r="51" spans="4:4">
      <c r="D51" s="347"/>
    </row>
    <row r="52" spans="4:4">
      <c r="D52" s="347"/>
    </row>
    <row r="53" spans="4:4">
      <c r="D53" s="347"/>
    </row>
    <row r="54" spans="4:4">
      <c r="D54" s="347"/>
    </row>
    <row r="55" spans="4:4">
      <c r="D55" s="347"/>
    </row>
    <row r="56" spans="4:4">
      <c r="D56" s="347"/>
    </row>
    <row r="57" spans="4:4">
      <c r="D57" s="347"/>
    </row>
    <row r="58" spans="4:4">
      <c r="D58" s="347"/>
    </row>
    <row r="59" spans="4:4">
      <c r="D59" s="347"/>
    </row>
    <row r="60" spans="4:4">
      <c r="D60" s="347"/>
    </row>
    <row r="61" spans="4:4">
      <c r="D61" s="347"/>
    </row>
    <row r="62" spans="4:4">
      <c r="D62" s="347"/>
    </row>
    <row r="63" spans="4:4">
      <c r="D63" s="347"/>
    </row>
    <row r="64" spans="4:4">
      <c r="D64" s="347"/>
    </row>
    <row r="65" spans="4:4">
      <c r="D65" s="347"/>
    </row>
    <row r="66" spans="4:4">
      <c r="D66" s="347"/>
    </row>
    <row r="67" spans="4:4">
      <c r="D67" s="347"/>
    </row>
    <row r="68" spans="4:4">
      <c r="D68" s="347"/>
    </row>
    <row r="69" spans="4:4">
      <c r="D69" s="347"/>
    </row>
    <row r="70" spans="4:4">
      <c r="D70" s="347"/>
    </row>
    <row r="71" spans="4:4">
      <c r="D71" s="347"/>
    </row>
    <row r="72" spans="4:4">
      <c r="D72" s="347"/>
    </row>
    <row r="73" spans="4:4">
      <c r="D73" s="347"/>
    </row>
    <row r="74" spans="4:4">
      <c r="D74" s="347"/>
    </row>
    <row r="75" spans="4:4">
      <c r="D75" s="347"/>
    </row>
    <row r="76" spans="4:4">
      <c r="D76" s="347"/>
    </row>
    <row r="77" spans="4:4">
      <c r="D77" s="347"/>
    </row>
    <row r="78" spans="4:4">
      <c r="D78" s="347"/>
    </row>
    <row r="79" spans="4:4">
      <c r="D79" s="347"/>
    </row>
    <row r="80" spans="4:4">
      <c r="D80" s="347"/>
    </row>
    <row r="81" spans="4:4">
      <c r="D81" s="347"/>
    </row>
    <row r="82" spans="4:4">
      <c r="D82" s="347"/>
    </row>
    <row r="83" spans="4:4">
      <c r="D83" s="347"/>
    </row>
    <row r="84" spans="4:4">
      <c r="D84" s="347"/>
    </row>
    <row r="85" spans="4:4">
      <c r="D85" s="347"/>
    </row>
    <row r="86" spans="4:4">
      <c r="D86" s="347"/>
    </row>
    <row r="87" spans="4:4">
      <c r="D87" s="347"/>
    </row>
    <row r="88" spans="4:4">
      <c r="D88" s="347"/>
    </row>
    <row r="89" spans="4:4">
      <c r="D89" s="347"/>
    </row>
    <row r="90" spans="4:4">
      <c r="D90" s="347"/>
    </row>
    <row r="91" spans="4:4">
      <c r="D91" s="347"/>
    </row>
    <row r="92" spans="4:4">
      <c r="D92" s="347"/>
    </row>
    <row r="93" spans="4:4">
      <c r="D93" s="347"/>
    </row>
    <row r="94" spans="4:4">
      <c r="D94" s="347"/>
    </row>
    <row r="95" spans="4:4">
      <c r="D95" s="347"/>
    </row>
    <row r="96" spans="4:4">
      <c r="D96" s="347"/>
    </row>
    <row r="97" spans="4:4">
      <c r="D97" s="347"/>
    </row>
    <row r="98" spans="4:4">
      <c r="D98" s="347"/>
    </row>
    <row r="99" spans="4:4">
      <c r="D99" s="347"/>
    </row>
    <row r="100" spans="4:4">
      <c r="D100" s="347"/>
    </row>
    <row r="101" spans="4:4">
      <c r="D101" s="347"/>
    </row>
    <row r="102" spans="4:4">
      <c r="D102" s="347"/>
    </row>
    <row r="103" spans="4:4">
      <c r="D103" s="347"/>
    </row>
    <row r="104" spans="4:4">
      <c r="D104" s="347"/>
    </row>
    <row r="105" spans="4:4">
      <c r="D105" s="347"/>
    </row>
    <row r="106" spans="4:4">
      <c r="D106" s="347"/>
    </row>
    <row r="107" spans="4:4">
      <c r="D107" s="347"/>
    </row>
    <row r="108" spans="4:4">
      <c r="D108" s="347"/>
    </row>
    <row r="109" spans="4:4">
      <c r="D109" s="347"/>
    </row>
    <row r="110" spans="4:4">
      <c r="D110" s="347"/>
    </row>
    <row r="111" spans="4:4">
      <c r="D111" s="347"/>
    </row>
    <row r="112" spans="4:4">
      <c r="D112" s="347"/>
    </row>
    <row r="113" spans="4:4">
      <c r="D113" s="347"/>
    </row>
    <row r="114" spans="4:4">
      <c r="D114" s="347"/>
    </row>
    <row r="115" spans="4:4">
      <c r="D115" s="347"/>
    </row>
    <row r="116" spans="4:4">
      <c r="D116" s="347"/>
    </row>
    <row r="117" spans="4:4">
      <c r="D117" s="347"/>
    </row>
    <row r="118" spans="4:4">
      <c r="D118" s="347"/>
    </row>
    <row r="119" spans="4:4">
      <c r="D119" s="347"/>
    </row>
    <row r="120" spans="4:4">
      <c r="D120" s="347"/>
    </row>
    <row r="121" spans="4:4">
      <c r="D121" s="347"/>
    </row>
    <row r="122" spans="4:4">
      <c r="D122" s="347"/>
    </row>
    <row r="123" spans="4:4">
      <c r="D123" s="347"/>
    </row>
    <row r="124" spans="4:4">
      <c r="D124" s="347"/>
    </row>
    <row r="125" spans="4:4">
      <c r="D125" s="347"/>
    </row>
    <row r="126" spans="4:4">
      <c r="D126" s="347"/>
    </row>
    <row r="127" spans="4:4">
      <c r="D127" s="347"/>
    </row>
    <row r="128" spans="4:4">
      <c r="D128" s="347"/>
    </row>
    <row r="129" spans="4:4">
      <c r="D129" s="347"/>
    </row>
    <row r="130" spans="4:4">
      <c r="D130" s="347"/>
    </row>
    <row r="131" spans="4:4">
      <c r="D131" s="347"/>
    </row>
    <row r="132" spans="4:4">
      <c r="D132" s="347"/>
    </row>
    <row r="133" spans="4:4">
      <c r="D133" s="347"/>
    </row>
    <row r="134" spans="4:4">
      <c r="D134" s="347"/>
    </row>
    <row r="135" spans="4:4">
      <c r="D135" s="347"/>
    </row>
    <row r="136" spans="4:4">
      <c r="D136" s="347"/>
    </row>
    <row r="137" spans="4:4">
      <c r="D137" s="347"/>
    </row>
    <row r="138" spans="4:4">
      <c r="D138" s="347"/>
    </row>
    <row r="139" spans="4:4">
      <c r="D139" s="347"/>
    </row>
    <row r="140" spans="4:4">
      <c r="D140" s="347"/>
    </row>
    <row r="141" spans="4:4">
      <c r="D141" s="347"/>
    </row>
    <row r="142" spans="4:4">
      <c r="D142" s="347"/>
    </row>
    <row r="143" spans="4:4">
      <c r="D143" s="347"/>
    </row>
    <row r="144" spans="4:4">
      <c r="D144" s="347"/>
    </row>
    <row r="145" spans="4:4">
      <c r="D145" s="347"/>
    </row>
    <row r="146" spans="4:4">
      <c r="D146" s="347"/>
    </row>
    <row r="147" spans="4:4">
      <c r="D147" s="347"/>
    </row>
    <row r="148" spans="4:4">
      <c r="D148" s="347"/>
    </row>
    <row r="149" spans="4:4">
      <c r="D149" s="347"/>
    </row>
    <row r="150" spans="4:4">
      <c r="D150" s="347"/>
    </row>
    <row r="151" spans="4:4">
      <c r="D151" s="347"/>
    </row>
    <row r="152" spans="4:4">
      <c r="D152" s="347"/>
    </row>
    <row r="153" spans="4:4">
      <c r="D153" s="347"/>
    </row>
    <row r="154" spans="4:4">
      <c r="D154" s="347"/>
    </row>
    <row r="155" spans="4:4">
      <c r="D155" s="347"/>
    </row>
    <row r="156" spans="4:4">
      <c r="D156" s="347"/>
    </row>
    <row r="157" spans="4:4">
      <c r="D157" s="347"/>
    </row>
    <row r="158" spans="4:4">
      <c r="D158" s="347"/>
    </row>
    <row r="159" spans="4:4">
      <c r="D159" s="347"/>
    </row>
    <row r="160" spans="4:4">
      <c r="D160" s="347"/>
    </row>
    <row r="161" spans="4:4">
      <c r="D161" s="347"/>
    </row>
    <row r="162" spans="4:4">
      <c r="D162" s="347"/>
    </row>
    <row r="163" spans="4:4">
      <c r="D163" s="347"/>
    </row>
    <row r="164" spans="4:4">
      <c r="D164" s="347"/>
    </row>
    <row r="165" spans="4:4">
      <c r="D165" s="347"/>
    </row>
    <row r="166" spans="4:4">
      <c r="D166" s="347"/>
    </row>
    <row r="167" spans="4:4">
      <c r="D167" s="347"/>
    </row>
    <row r="168" spans="4:4">
      <c r="D168" s="347"/>
    </row>
    <row r="169" spans="4:4">
      <c r="D169" s="347"/>
    </row>
    <row r="170" spans="4:4">
      <c r="D170" s="347"/>
    </row>
    <row r="171" spans="4:4">
      <c r="D171" s="347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2:O171"/>
  <sheetViews>
    <sheetView zoomScale="80" zoomScaleNormal="80" workbookViewId="0">
      <selection activeCell="B7" sqref="B7:L7"/>
    </sheetView>
  </sheetViews>
  <sheetFormatPr defaultColWidth="9.140625" defaultRowHeight="15.75"/>
  <cols>
    <col min="1" max="1" width="5.140625" style="919" customWidth="1"/>
    <col min="2" max="2" width="11.140625" style="227" customWidth="1"/>
    <col min="3" max="3" width="32.5703125" style="227" customWidth="1"/>
    <col min="4" max="11" width="18.5703125" style="332" customWidth="1"/>
    <col min="12" max="12" width="24" style="332" customWidth="1"/>
    <col min="13" max="13" width="5.140625" style="919" customWidth="1"/>
    <col min="14" max="16384" width="9.140625" style="227"/>
  </cols>
  <sheetData>
    <row r="2" spans="1:13" s="170" customFormat="1">
      <c r="A2" s="915"/>
      <c r="B2" s="1642" t="s">
        <v>17</v>
      </c>
      <c r="C2" s="1642"/>
      <c r="D2" s="1642"/>
      <c r="E2" s="1642"/>
      <c r="F2" s="1642"/>
      <c r="G2" s="1642"/>
      <c r="H2" s="1642"/>
      <c r="I2" s="1642"/>
      <c r="J2" s="1642"/>
      <c r="K2" s="1642"/>
      <c r="L2" s="1642"/>
      <c r="M2" s="915"/>
    </row>
    <row r="3" spans="1:13" s="170" customFormat="1">
      <c r="A3" s="915"/>
      <c r="B3" s="1642" t="s">
        <v>59</v>
      </c>
      <c r="C3" s="1642"/>
      <c r="D3" s="1642"/>
      <c r="E3" s="1642"/>
      <c r="F3" s="1642"/>
      <c r="G3" s="1642"/>
      <c r="H3" s="1642"/>
      <c r="I3" s="1642"/>
      <c r="J3" s="1642"/>
      <c r="K3" s="1642"/>
      <c r="L3" s="1642"/>
      <c r="M3" s="915"/>
    </row>
    <row r="4" spans="1:13">
      <c r="B4" s="1642" t="s">
        <v>110</v>
      </c>
      <c r="C4" s="1642"/>
      <c r="D4" s="1642"/>
      <c r="E4" s="1642"/>
      <c r="F4" s="1642"/>
      <c r="G4" s="1642"/>
      <c r="H4" s="1642"/>
      <c r="I4" s="1642"/>
      <c r="J4" s="1642"/>
      <c r="K4" s="1642"/>
      <c r="L4" s="1642"/>
    </row>
    <row r="5" spans="1:13">
      <c r="B5" s="1642" t="s">
        <v>103</v>
      </c>
      <c r="C5" s="1642"/>
      <c r="D5" s="1642"/>
      <c r="E5" s="1642"/>
      <c r="F5" s="1642"/>
      <c r="G5" s="1642"/>
      <c r="H5" s="1642"/>
      <c r="I5" s="1642"/>
      <c r="J5" s="1642"/>
      <c r="K5" s="1642"/>
      <c r="L5" s="1642"/>
    </row>
    <row r="6" spans="1:13">
      <c r="B6" s="1642" t="str">
        <f>"BALANCES AS OF 12/31/"&amp;Automation!$B$3</f>
        <v>BALANCES AS OF 12/31/2019</v>
      </c>
      <c r="C6" s="1642"/>
      <c r="D6" s="1642"/>
      <c r="E6" s="1642"/>
      <c r="F6" s="1642"/>
      <c r="G6" s="1642"/>
      <c r="H6" s="1642"/>
      <c r="I6" s="1642"/>
      <c r="J6" s="1642"/>
      <c r="K6" s="1642"/>
      <c r="L6" s="1642"/>
    </row>
    <row r="7" spans="1:13">
      <c r="B7" s="1647" t="s">
        <v>2</v>
      </c>
      <c r="C7" s="1642"/>
      <c r="D7" s="1642"/>
      <c r="E7" s="1642"/>
      <c r="F7" s="1642"/>
      <c r="G7" s="1642"/>
      <c r="H7" s="1642"/>
      <c r="I7" s="1642"/>
      <c r="J7" s="1642"/>
      <c r="K7" s="1642"/>
      <c r="L7" s="1642"/>
    </row>
    <row r="8" spans="1:13">
      <c r="C8" s="172"/>
      <c r="D8" s="173"/>
      <c r="E8" s="293"/>
      <c r="F8" s="293"/>
      <c r="G8" s="293"/>
      <c r="H8" s="293"/>
      <c r="I8" s="293"/>
      <c r="J8" s="293"/>
      <c r="K8" s="293"/>
      <c r="L8" s="293"/>
    </row>
    <row r="9" spans="1:13" s="169" customFormat="1">
      <c r="A9" s="915"/>
      <c r="B9" s="371"/>
      <c r="C9" s="294"/>
      <c r="D9" s="295" t="s">
        <v>28</v>
      </c>
      <c r="E9" s="296" t="s">
        <v>29</v>
      </c>
      <c r="F9" s="296" t="s">
        <v>61</v>
      </c>
      <c r="G9" s="296" t="s">
        <v>62</v>
      </c>
      <c r="H9" s="296" t="s">
        <v>63</v>
      </c>
      <c r="I9" s="296" t="s">
        <v>64</v>
      </c>
      <c r="J9" s="296" t="s">
        <v>65</v>
      </c>
      <c r="K9" s="391" t="s">
        <v>66</v>
      </c>
      <c r="L9" s="245"/>
      <c r="M9" s="915"/>
    </row>
    <row r="10" spans="1:13">
      <c r="B10" s="392"/>
      <c r="C10" s="298"/>
      <c r="D10" s="299"/>
      <c r="E10" s="300"/>
      <c r="F10" s="393"/>
      <c r="G10" s="300"/>
      <c r="H10" s="300"/>
      <c r="I10" s="300"/>
      <c r="J10" s="300"/>
      <c r="K10" s="394" t="s">
        <v>30</v>
      </c>
      <c r="L10" s="297"/>
    </row>
    <row r="11" spans="1:13">
      <c r="B11" s="392"/>
      <c r="C11" s="298"/>
      <c r="D11" s="299"/>
      <c r="E11" s="300" t="s">
        <v>67</v>
      </c>
      <c r="F11" s="393" t="s">
        <v>55</v>
      </c>
      <c r="G11" s="300" t="s">
        <v>58</v>
      </c>
      <c r="H11" s="300" t="s">
        <v>58</v>
      </c>
      <c r="I11" s="300" t="s">
        <v>58</v>
      </c>
      <c r="J11" s="300" t="s">
        <v>58</v>
      </c>
      <c r="K11" s="393" t="s">
        <v>58</v>
      </c>
      <c r="L11" s="275"/>
    </row>
    <row r="12" spans="1:13">
      <c r="B12" s="395"/>
      <c r="C12" s="303"/>
      <c r="D12" s="305" t="s">
        <v>30</v>
      </c>
      <c r="E12" s="300" t="s">
        <v>108</v>
      </c>
      <c r="F12" s="300" t="s">
        <v>108</v>
      </c>
      <c r="G12" s="300" t="s">
        <v>108</v>
      </c>
      <c r="H12" s="300" t="s">
        <v>108</v>
      </c>
      <c r="I12" s="300" t="s">
        <v>108</v>
      </c>
      <c r="J12" s="300" t="s">
        <v>108</v>
      </c>
      <c r="K12" s="393" t="s">
        <v>102</v>
      </c>
      <c r="L12" s="182"/>
    </row>
    <row r="13" spans="1:13">
      <c r="A13" s="919" t="s">
        <v>3</v>
      </c>
      <c r="B13" s="361"/>
      <c r="C13" s="209"/>
      <c r="D13" s="305" t="s">
        <v>58</v>
      </c>
      <c r="E13" s="300" t="s">
        <v>109</v>
      </c>
      <c r="F13" s="300" t="s">
        <v>109</v>
      </c>
      <c r="G13" s="300" t="s">
        <v>109</v>
      </c>
      <c r="H13" s="300" t="s">
        <v>109</v>
      </c>
      <c r="I13" s="300" t="s">
        <v>109</v>
      </c>
      <c r="J13" s="300" t="s">
        <v>109</v>
      </c>
      <c r="K13" s="393" t="s">
        <v>33</v>
      </c>
      <c r="L13" s="182"/>
      <c r="M13" s="919" t="s">
        <v>3</v>
      </c>
    </row>
    <row r="14" spans="1:13">
      <c r="A14" s="919" t="s">
        <v>24</v>
      </c>
      <c r="B14" s="353" t="s">
        <v>70</v>
      </c>
      <c r="C14" s="191" t="s">
        <v>71</v>
      </c>
      <c r="D14" s="396" t="s">
        <v>108</v>
      </c>
      <c r="E14" s="308" t="s">
        <v>72</v>
      </c>
      <c r="F14" s="308" t="s">
        <v>73</v>
      </c>
      <c r="G14" s="308" t="s">
        <v>107</v>
      </c>
      <c r="H14" s="308" t="s">
        <v>106</v>
      </c>
      <c r="I14" s="308" t="s">
        <v>105</v>
      </c>
      <c r="J14" s="308" t="s">
        <v>76</v>
      </c>
      <c r="K14" s="194" t="s">
        <v>77</v>
      </c>
      <c r="L14" s="191" t="s">
        <v>8</v>
      </c>
      <c r="M14" s="919" t="s">
        <v>24</v>
      </c>
    </row>
    <row r="15" spans="1:13">
      <c r="B15" s="303"/>
      <c r="C15" s="303" t="s">
        <v>78</v>
      </c>
      <c r="D15" s="310"/>
      <c r="E15" s="303"/>
      <c r="F15" s="303"/>
      <c r="G15" s="303"/>
      <c r="H15" s="303"/>
      <c r="I15" s="303"/>
      <c r="J15" s="303"/>
      <c r="K15" s="311"/>
      <c r="L15" s="275"/>
    </row>
    <row r="16" spans="1:13">
      <c r="A16" s="919">
        <v>1</v>
      </c>
      <c r="B16" s="343">
        <v>303</v>
      </c>
      <c r="C16" s="94" t="s">
        <v>79</v>
      </c>
      <c r="D16" s="314">
        <v>0</v>
      </c>
      <c r="E16" s="314">
        <v>0</v>
      </c>
      <c r="F16" s="314">
        <v>0</v>
      </c>
      <c r="G16" s="314">
        <v>0</v>
      </c>
      <c r="H16" s="314">
        <v>0</v>
      </c>
      <c r="I16" s="314">
        <v>0</v>
      </c>
      <c r="J16" s="314">
        <v>0</v>
      </c>
      <c r="K16" s="233">
        <f>SUM(D16:J16)</f>
        <v>0</v>
      </c>
      <c r="L16" s="275" t="s">
        <v>415</v>
      </c>
      <c r="M16" s="919">
        <f>A16</f>
        <v>1</v>
      </c>
    </row>
    <row r="17" spans="1:15">
      <c r="A17" s="919">
        <f>A16+1</f>
        <v>2</v>
      </c>
      <c r="B17" s="344">
        <v>310.10000000000002</v>
      </c>
      <c r="C17" s="94" t="s">
        <v>80</v>
      </c>
      <c r="D17" s="316">
        <v>0</v>
      </c>
      <c r="E17" s="317">
        <v>0</v>
      </c>
      <c r="F17" s="317">
        <v>0</v>
      </c>
      <c r="G17" s="317">
        <v>0</v>
      </c>
      <c r="H17" s="317">
        <v>0</v>
      </c>
      <c r="I17" s="317">
        <v>0</v>
      </c>
      <c r="J17" s="317">
        <v>0</v>
      </c>
      <c r="K17" s="234">
        <f>SUM(D17:J17)</f>
        <v>0</v>
      </c>
      <c r="L17" s="275" t="s">
        <v>415</v>
      </c>
      <c r="M17" s="919">
        <f>M16+1</f>
        <v>2</v>
      </c>
    </row>
    <row r="18" spans="1:15">
      <c r="A18" s="919">
        <f t="shared" ref="A18:A36" si="0">A17+1</f>
        <v>3</v>
      </c>
      <c r="B18" s="343">
        <v>340</v>
      </c>
      <c r="C18" s="345" t="s">
        <v>81</v>
      </c>
      <c r="D18" s="316">
        <v>0</v>
      </c>
      <c r="E18" s="317">
        <v>1.1472100000000001</v>
      </c>
      <c r="F18" s="317">
        <v>0</v>
      </c>
      <c r="G18" s="317">
        <v>0</v>
      </c>
      <c r="H18" s="317">
        <v>0</v>
      </c>
      <c r="I18" s="317">
        <v>0</v>
      </c>
      <c r="J18" s="317">
        <v>0</v>
      </c>
      <c r="K18" s="318">
        <f>SUM(D18:J18)</f>
        <v>1.1472100000000001</v>
      </c>
      <c r="L18" s="275" t="s">
        <v>415</v>
      </c>
      <c r="M18" s="919">
        <f t="shared" ref="M18:M36" si="1">M17+1</f>
        <v>3</v>
      </c>
    </row>
    <row r="19" spans="1:15">
      <c r="A19" s="919">
        <f t="shared" si="0"/>
        <v>4</v>
      </c>
      <c r="B19" s="343">
        <v>360</v>
      </c>
      <c r="C19" s="345" t="s">
        <v>81</v>
      </c>
      <c r="D19" s="316">
        <v>0</v>
      </c>
      <c r="E19" s="317">
        <v>0</v>
      </c>
      <c r="F19" s="317">
        <v>52.955550000000002</v>
      </c>
      <c r="G19" s="317">
        <v>0</v>
      </c>
      <c r="H19" s="317">
        <v>0</v>
      </c>
      <c r="I19" s="317">
        <v>0</v>
      </c>
      <c r="J19" s="317">
        <v>0</v>
      </c>
      <c r="K19" s="318">
        <f>SUM(D19:J19)</f>
        <v>52.955550000000002</v>
      </c>
      <c r="L19" s="275" t="s">
        <v>415</v>
      </c>
      <c r="M19" s="919">
        <f t="shared" si="1"/>
        <v>4</v>
      </c>
    </row>
    <row r="20" spans="1:15">
      <c r="A20" s="919">
        <f t="shared" si="0"/>
        <v>5</v>
      </c>
      <c r="B20" s="343">
        <v>361</v>
      </c>
      <c r="C20" s="94" t="s">
        <v>82</v>
      </c>
      <c r="D20" s="316">
        <v>0</v>
      </c>
      <c r="E20" s="317">
        <v>0</v>
      </c>
      <c r="F20" s="317">
        <v>418.66358000000002</v>
      </c>
      <c r="G20" s="317">
        <v>0</v>
      </c>
      <c r="H20" s="317">
        <v>0</v>
      </c>
      <c r="I20" s="317">
        <v>0</v>
      </c>
      <c r="J20" s="317">
        <v>0</v>
      </c>
      <c r="K20" s="318">
        <f>SUM(D20:J20)</f>
        <v>418.66358000000002</v>
      </c>
      <c r="L20" s="275" t="s">
        <v>415</v>
      </c>
      <c r="M20" s="919">
        <f t="shared" si="1"/>
        <v>5</v>
      </c>
    </row>
    <row r="21" spans="1:15">
      <c r="A21" s="919">
        <f t="shared" si="0"/>
        <v>6</v>
      </c>
      <c r="B21" s="275"/>
      <c r="C21" s="303"/>
      <c r="D21" s="310"/>
      <c r="E21" s="303"/>
      <c r="F21" s="303"/>
      <c r="G21" s="303"/>
      <c r="H21" s="303"/>
      <c r="I21" s="303"/>
      <c r="J21" s="303"/>
      <c r="K21" s="318"/>
      <c r="L21" s="275"/>
      <c r="M21" s="919">
        <f t="shared" si="1"/>
        <v>6</v>
      </c>
    </row>
    <row r="22" spans="1:15" s="170" customFormat="1">
      <c r="A22" s="919">
        <f t="shared" si="0"/>
        <v>7</v>
      </c>
      <c r="B22" s="319" t="s">
        <v>83</v>
      </c>
      <c r="C22" s="320" t="s">
        <v>84</v>
      </c>
      <c r="D22" s="321">
        <f t="shared" ref="D22:I22" si="2">SUM(D16:D21)</f>
        <v>0</v>
      </c>
      <c r="E22" s="321">
        <f t="shared" si="2"/>
        <v>1.1472100000000001</v>
      </c>
      <c r="F22" s="321">
        <f>SUM(F16:F21)</f>
        <v>471.61913000000004</v>
      </c>
      <c r="G22" s="321">
        <f t="shared" si="2"/>
        <v>0</v>
      </c>
      <c r="H22" s="321">
        <f t="shared" si="2"/>
        <v>0</v>
      </c>
      <c r="I22" s="321">
        <f t="shared" si="2"/>
        <v>0</v>
      </c>
      <c r="J22" s="321">
        <f>SUM(J16:J21)</f>
        <v>0</v>
      </c>
      <c r="K22" s="322">
        <f>SUM(K16:K21)</f>
        <v>472.76634000000001</v>
      </c>
      <c r="L22" s="323" t="str">
        <f>"Sum Lines "&amp;A16&amp;" thru "&amp;A20</f>
        <v>Sum Lines 1 thru 5</v>
      </c>
      <c r="M22" s="919">
        <f t="shared" si="1"/>
        <v>7</v>
      </c>
    </row>
    <row r="23" spans="1:15">
      <c r="A23" s="919">
        <f t="shared" si="0"/>
        <v>8</v>
      </c>
      <c r="B23" s="275"/>
      <c r="C23" s="303"/>
      <c r="D23" s="324"/>
      <c r="E23" s="325"/>
      <c r="F23" s="325"/>
      <c r="G23" s="325"/>
      <c r="H23" s="325"/>
      <c r="I23" s="325"/>
      <c r="J23" s="325"/>
      <c r="K23" s="398"/>
      <c r="L23" s="275"/>
      <c r="M23" s="919">
        <f t="shared" si="1"/>
        <v>8</v>
      </c>
    </row>
    <row r="24" spans="1:15">
      <c r="A24" s="919">
        <f t="shared" si="0"/>
        <v>9</v>
      </c>
      <c r="B24" s="343">
        <v>350</v>
      </c>
      <c r="C24" s="94" t="s">
        <v>81</v>
      </c>
      <c r="D24" s="314">
        <v>26213.39443</v>
      </c>
      <c r="E24" s="315">
        <v>0</v>
      </c>
      <c r="F24" s="314">
        <v>0</v>
      </c>
      <c r="G24" s="314">
        <v>0</v>
      </c>
      <c r="H24" s="314">
        <v>0</v>
      </c>
      <c r="I24" s="315">
        <v>0</v>
      </c>
      <c r="J24" s="315">
        <v>-352.57932</v>
      </c>
      <c r="K24" s="233">
        <f t="shared" ref="K24:K32" si="3">SUM(D24:J24)</f>
        <v>25860.81511</v>
      </c>
      <c r="L24" s="275" t="s">
        <v>415</v>
      </c>
      <c r="M24" s="919">
        <f t="shared" si="1"/>
        <v>9</v>
      </c>
    </row>
    <row r="25" spans="1:15">
      <c r="A25" s="919">
        <f t="shared" si="0"/>
        <v>10</v>
      </c>
      <c r="B25" s="343">
        <v>352</v>
      </c>
      <c r="C25" s="94" t="s">
        <v>82</v>
      </c>
      <c r="D25" s="324">
        <v>92235.298949999997</v>
      </c>
      <c r="E25" s="317">
        <v>0</v>
      </c>
      <c r="F25" s="317">
        <v>0</v>
      </c>
      <c r="G25" s="324">
        <v>-459.50787000000003</v>
      </c>
      <c r="H25" s="316"/>
      <c r="I25" s="317">
        <v>0</v>
      </c>
      <c r="J25" s="325">
        <v>-15399.878929999999</v>
      </c>
      <c r="K25" s="318">
        <f t="shared" si="3"/>
        <v>76375.912149999989</v>
      </c>
      <c r="L25" s="275" t="s">
        <v>415</v>
      </c>
      <c r="M25" s="919">
        <f t="shared" si="1"/>
        <v>10</v>
      </c>
      <c r="O25" s="240"/>
    </row>
    <row r="26" spans="1:15">
      <c r="A26" s="919">
        <f t="shared" si="0"/>
        <v>11</v>
      </c>
      <c r="B26" s="343">
        <v>353</v>
      </c>
      <c r="C26" s="94" t="s">
        <v>85</v>
      </c>
      <c r="D26" s="324">
        <v>411054.42580999999</v>
      </c>
      <c r="E26" s="317">
        <v>0</v>
      </c>
      <c r="F26" s="317">
        <v>0</v>
      </c>
      <c r="G26" s="324">
        <v>-2749.6164699999999</v>
      </c>
      <c r="H26" s="316">
        <v>-438.56607000000002</v>
      </c>
      <c r="I26" s="317">
        <v>0</v>
      </c>
      <c r="J26" s="325">
        <v>-1556.1032600000001</v>
      </c>
      <c r="K26" s="318">
        <f t="shared" si="3"/>
        <v>406310.14000999997</v>
      </c>
      <c r="L26" s="275" t="s">
        <v>415</v>
      </c>
      <c r="M26" s="919">
        <f t="shared" si="1"/>
        <v>11</v>
      </c>
    </row>
    <row r="27" spans="1:15">
      <c r="A27" s="919">
        <f t="shared" si="0"/>
        <v>12</v>
      </c>
      <c r="B27" s="343">
        <v>354</v>
      </c>
      <c r="C27" s="94" t="s">
        <v>86</v>
      </c>
      <c r="D27" s="324">
        <v>203665.2475</v>
      </c>
      <c r="E27" s="317">
        <v>0</v>
      </c>
      <c r="F27" s="317">
        <v>0</v>
      </c>
      <c r="G27" s="324">
        <v>0</v>
      </c>
      <c r="H27" s="316">
        <v>0</v>
      </c>
      <c r="I27" s="317">
        <v>0</v>
      </c>
      <c r="J27" s="325">
        <v>0</v>
      </c>
      <c r="K27" s="318">
        <f t="shared" si="3"/>
        <v>203665.2475</v>
      </c>
      <c r="L27" s="275" t="s">
        <v>415</v>
      </c>
      <c r="M27" s="919">
        <f t="shared" si="1"/>
        <v>12</v>
      </c>
    </row>
    <row r="28" spans="1:15">
      <c r="A28" s="919">
        <f t="shared" si="0"/>
        <v>13</v>
      </c>
      <c r="B28" s="343">
        <v>355</v>
      </c>
      <c r="C28" s="94" t="s">
        <v>87</v>
      </c>
      <c r="D28" s="324">
        <v>143328.42775999999</v>
      </c>
      <c r="E28" s="317">
        <v>0</v>
      </c>
      <c r="F28" s="317">
        <v>0</v>
      </c>
      <c r="G28" s="324">
        <v>0</v>
      </c>
      <c r="H28" s="316">
        <v>0</v>
      </c>
      <c r="I28" s="317">
        <v>0</v>
      </c>
      <c r="J28" s="325">
        <v>0</v>
      </c>
      <c r="K28" s="318">
        <f t="shared" si="3"/>
        <v>143328.42775999999</v>
      </c>
      <c r="L28" s="275" t="s">
        <v>415</v>
      </c>
      <c r="M28" s="919">
        <f t="shared" si="1"/>
        <v>13</v>
      </c>
    </row>
    <row r="29" spans="1:15">
      <c r="A29" s="919">
        <f t="shared" si="0"/>
        <v>14</v>
      </c>
      <c r="B29" s="343">
        <v>356</v>
      </c>
      <c r="C29" s="94" t="s">
        <v>88</v>
      </c>
      <c r="D29" s="324">
        <v>257046.67032999999</v>
      </c>
      <c r="E29" s="317">
        <v>0</v>
      </c>
      <c r="F29" s="317">
        <v>0</v>
      </c>
      <c r="G29" s="324">
        <v>0</v>
      </c>
      <c r="H29" s="316">
        <v>0</v>
      </c>
      <c r="I29" s="317">
        <v>0</v>
      </c>
      <c r="J29" s="325">
        <v>0</v>
      </c>
      <c r="K29" s="318">
        <f t="shared" si="3"/>
        <v>257046.67032999999</v>
      </c>
      <c r="L29" s="275" t="s">
        <v>415</v>
      </c>
      <c r="M29" s="919">
        <f t="shared" si="1"/>
        <v>14</v>
      </c>
    </row>
    <row r="30" spans="1:15">
      <c r="A30" s="919">
        <f t="shared" si="0"/>
        <v>15</v>
      </c>
      <c r="B30" s="343">
        <v>357</v>
      </c>
      <c r="C30" s="94" t="s">
        <v>89</v>
      </c>
      <c r="D30" s="324">
        <v>80263.880340000003</v>
      </c>
      <c r="E30" s="317">
        <v>0</v>
      </c>
      <c r="F30" s="317">
        <v>0</v>
      </c>
      <c r="G30" s="324">
        <v>0</v>
      </c>
      <c r="H30" s="316">
        <v>0</v>
      </c>
      <c r="I30" s="317">
        <v>0</v>
      </c>
      <c r="J30" s="325">
        <v>0</v>
      </c>
      <c r="K30" s="318">
        <f t="shared" si="3"/>
        <v>80263.880340000003</v>
      </c>
      <c r="L30" s="275" t="s">
        <v>415</v>
      </c>
      <c r="M30" s="919">
        <f t="shared" si="1"/>
        <v>15</v>
      </c>
    </row>
    <row r="31" spans="1:15">
      <c r="A31" s="919">
        <f t="shared" si="0"/>
        <v>16</v>
      </c>
      <c r="B31" s="343">
        <v>358</v>
      </c>
      <c r="C31" s="94" t="s">
        <v>90</v>
      </c>
      <c r="D31" s="324">
        <v>79048.85759</v>
      </c>
      <c r="E31" s="317">
        <v>0</v>
      </c>
      <c r="F31" s="317">
        <v>0</v>
      </c>
      <c r="G31" s="324">
        <v>-532.69455000000005</v>
      </c>
      <c r="H31" s="316">
        <v>0</v>
      </c>
      <c r="I31" s="317">
        <v>0</v>
      </c>
      <c r="J31" s="325">
        <v>0</v>
      </c>
      <c r="K31" s="318">
        <f t="shared" si="3"/>
        <v>78516.163039999999</v>
      </c>
      <c r="L31" s="275" t="s">
        <v>415</v>
      </c>
      <c r="M31" s="919">
        <f t="shared" si="1"/>
        <v>16</v>
      </c>
    </row>
    <row r="32" spans="1:15">
      <c r="A32" s="919">
        <f t="shared" si="0"/>
        <v>17</v>
      </c>
      <c r="B32" s="343">
        <v>359</v>
      </c>
      <c r="C32" s="94" t="s">
        <v>91</v>
      </c>
      <c r="D32" s="324">
        <v>43624.578419999998</v>
      </c>
      <c r="E32" s="317">
        <v>0</v>
      </c>
      <c r="F32" s="317">
        <v>0</v>
      </c>
      <c r="G32" s="324">
        <v>0</v>
      </c>
      <c r="H32" s="316">
        <v>0</v>
      </c>
      <c r="I32" s="317">
        <v>0</v>
      </c>
      <c r="J32" s="325">
        <v>0</v>
      </c>
      <c r="K32" s="318">
        <f t="shared" si="3"/>
        <v>43624.578419999998</v>
      </c>
      <c r="L32" s="275" t="s">
        <v>415</v>
      </c>
      <c r="M32" s="919">
        <f t="shared" si="1"/>
        <v>17</v>
      </c>
    </row>
    <row r="33" spans="1:13">
      <c r="A33" s="919">
        <f t="shared" si="0"/>
        <v>18</v>
      </c>
      <c r="B33" s="399"/>
      <c r="C33" s="303"/>
      <c r="D33" s="324"/>
      <c r="F33" s="333"/>
      <c r="G33" s="333"/>
      <c r="H33" s="333"/>
      <c r="I33" s="333"/>
      <c r="J33" s="325"/>
      <c r="K33" s="400"/>
      <c r="L33" s="312"/>
      <c r="M33" s="919">
        <f t="shared" si="1"/>
        <v>18</v>
      </c>
    </row>
    <row r="34" spans="1:13">
      <c r="A34" s="919">
        <f t="shared" si="0"/>
        <v>19</v>
      </c>
      <c r="B34" s="335" t="s">
        <v>83</v>
      </c>
      <c r="C34" s="320" t="s">
        <v>57</v>
      </c>
      <c r="D34" s="321">
        <f t="shared" ref="D34:I34" si="4">SUM(D24:D33)</f>
        <v>1336480.7811299998</v>
      </c>
      <c r="E34" s="321">
        <f t="shared" si="4"/>
        <v>0</v>
      </c>
      <c r="F34" s="321">
        <f>SUM(F24:F33)</f>
        <v>0</v>
      </c>
      <c r="G34" s="321">
        <f t="shared" si="4"/>
        <v>-3741.81889</v>
      </c>
      <c r="H34" s="321">
        <f t="shared" si="4"/>
        <v>-438.56607000000002</v>
      </c>
      <c r="I34" s="321">
        <f t="shared" si="4"/>
        <v>0</v>
      </c>
      <c r="J34" s="321">
        <f>SUM(J24:J33)</f>
        <v>-17308.56151</v>
      </c>
      <c r="K34" s="322">
        <f>SUM(K24:K33)</f>
        <v>1314991.8346599997</v>
      </c>
      <c r="L34" s="336" t="str">
        <f>"Sum Lines "&amp;A24&amp;" thru "&amp;A32</f>
        <v>Sum Lines 9 thru 17</v>
      </c>
      <c r="M34" s="919">
        <f t="shared" si="1"/>
        <v>19</v>
      </c>
    </row>
    <row r="35" spans="1:13">
      <c r="A35" s="919">
        <f t="shared" si="0"/>
        <v>20</v>
      </c>
      <c r="B35" s="395"/>
      <c r="D35" s="337"/>
      <c r="J35" s="326"/>
      <c r="K35" s="326"/>
      <c r="L35" s="338"/>
      <c r="M35" s="919">
        <f t="shared" si="1"/>
        <v>20</v>
      </c>
    </row>
    <row r="36" spans="1:13">
      <c r="A36" s="919">
        <f t="shared" si="0"/>
        <v>21</v>
      </c>
      <c r="B36" s="401" t="s">
        <v>92</v>
      </c>
      <c r="C36" s="340"/>
      <c r="D36" s="341">
        <f t="shared" ref="D36:I36" si="5">D34+D22</f>
        <v>1336480.7811299998</v>
      </c>
      <c r="E36" s="341">
        <f t="shared" si="5"/>
        <v>1.1472100000000001</v>
      </c>
      <c r="F36" s="341">
        <f>F34+F22</f>
        <v>471.61913000000004</v>
      </c>
      <c r="G36" s="341">
        <f t="shared" si="5"/>
        <v>-3741.81889</v>
      </c>
      <c r="H36" s="341">
        <f t="shared" si="5"/>
        <v>-438.56607000000002</v>
      </c>
      <c r="I36" s="342">
        <f t="shared" si="5"/>
        <v>0</v>
      </c>
      <c r="J36" s="341">
        <f>J34+J22</f>
        <v>-17308.56151</v>
      </c>
      <c r="K36" s="341">
        <f>K34+K22</f>
        <v>1315464.6009999998</v>
      </c>
      <c r="L36" s="323" t="str">
        <f>"Line "&amp;A22&amp;" + Line "&amp;A34</f>
        <v>Line 7 + Line 19</v>
      </c>
      <c r="M36" s="919">
        <f t="shared" si="1"/>
        <v>21</v>
      </c>
    </row>
    <row r="37" spans="1:13">
      <c r="D37" s="227"/>
      <c r="K37" s="402"/>
      <c r="L37" s="402"/>
    </row>
    <row r="38" spans="1:13">
      <c r="D38" s="227"/>
      <c r="K38" s="402"/>
      <c r="L38" s="402"/>
    </row>
    <row r="39" spans="1:13">
      <c r="B39" s="227" t="s">
        <v>420</v>
      </c>
      <c r="D39" s="227"/>
    </row>
    <row r="40" spans="1:13">
      <c r="D40" s="227"/>
    </row>
    <row r="41" spans="1:13">
      <c r="D41" s="227"/>
    </row>
    <row r="42" spans="1:13">
      <c r="D42" s="227"/>
    </row>
    <row r="43" spans="1:13">
      <c r="D43" s="227"/>
    </row>
    <row r="44" spans="1:13">
      <c r="D44" s="227"/>
    </row>
    <row r="45" spans="1:13">
      <c r="D45" s="227"/>
    </row>
    <row r="46" spans="1:13">
      <c r="D46" s="227"/>
    </row>
    <row r="47" spans="1:13">
      <c r="D47" s="227"/>
    </row>
    <row r="48" spans="1:13">
      <c r="D48" s="227"/>
    </row>
    <row r="49" spans="4:4">
      <c r="D49" s="227"/>
    </row>
    <row r="50" spans="4:4">
      <c r="D50" s="227"/>
    </row>
    <row r="51" spans="4:4">
      <c r="D51" s="227"/>
    </row>
    <row r="52" spans="4:4">
      <c r="D52" s="227"/>
    </row>
    <row r="53" spans="4:4">
      <c r="D53" s="227"/>
    </row>
    <row r="54" spans="4:4">
      <c r="D54" s="227"/>
    </row>
    <row r="55" spans="4:4">
      <c r="D55" s="227"/>
    </row>
    <row r="56" spans="4:4">
      <c r="D56" s="227"/>
    </row>
    <row r="57" spans="4:4">
      <c r="D57" s="227"/>
    </row>
    <row r="58" spans="4:4">
      <c r="D58" s="227"/>
    </row>
    <row r="59" spans="4:4">
      <c r="D59" s="227"/>
    </row>
    <row r="60" spans="4:4">
      <c r="D60" s="227"/>
    </row>
    <row r="61" spans="4:4">
      <c r="D61" s="227"/>
    </row>
    <row r="62" spans="4:4">
      <c r="D62" s="227"/>
    </row>
    <row r="63" spans="4:4">
      <c r="D63" s="227"/>
    </row>
    <row r="64" spans="4:4">
      <c r="D64" s="227"/>
    </row>
    <row r="65" spans="4:4">
      <c r="D65" s="227"/>
    </row>
    <row r="66" spans="4:4">
      <c r="D66" s="227"/>
    </row>
    <row r="67" spans="4:4">
      <c r="D67" s="227"/>
    </row>
    <row r="68" spans="4:4">
      <c r="D68" s="227"/>
    </row>
    <row r="69" spans="4:4">
      <c r="D69" s="227"/>
    </row>
    <row r="70" spans="4:4">
      <c r="D70" s="227"/>
    </row>
    <row r="71" spans="4:4">
      <c r="D71" s="227"/>
    </row>
    <row r="72" spans="4:4">
      <c r="D72" s="227"/>
    </row>
    <row r="73" spans="4:4">
      <c r="D73" s="227"/>
    </row>
    <row r="74" spans="4:4">
      <c r="D74" s="227"/>
    </row>
    <row r="75" spans="4:4">
      <c r="D75" s="227"/>
    </row>
    <row r="76" spans="4:4">
      <c r="D76" s="227"/>
    </row>
    <row r="77" spans="4:4">
      <c r="D77" s="227"/>
    </row>
    <row r="78" spans="4:4">
      <c r="D78" s="227"/>
    </row>
    <row r="79" spans="4:4">
      <c r="D79" s="227"/>
    </row>
    <row r="80" spans="4:4">
      <c r="D80" s="227"/>
    </row>
    <row r="81" spans="4:4">
      <c r="D81" s="227"/>
    </row>
    <row r="82" spans="4:4">
      <c r="D82" s="227"/>
    </row>
    <row r="83" spans="4:4">
      <c r="D83" s="227"/>
    </row>
    <row r="84" spans="4:4">
      <c r="D84" s="227"/>
    </row>
    <row r="85" spans="4:4">
      <c r="D85" s="227"/>
    </row>
    <row r="86" spans="4:4">
      <c r="D86" s="227"/>
    </row>
    <row r="87" spans="4:4">
      <c r="D87" s="227"/>
    </row>
    <row r="88" spans="4:4">
      <c r="D88" s="227"/>
    </row>
    <row r="89" spans="4:4">
      <c r="D89" s="227"/>
    </row>
    <row r="90" spans="4:4">
      <c r="D90" s="227"/>
    </row>
    <row r="91" spans="4:4">
      <c r="D91" s="227"/>
    </row>
    <row r="92" spans="4:4">
      <c r="D92" s="227"/>
    </row>
    <row r="93" spans="4:4">
      <c r="D93" s="227"/>
    </row>
    <row r="94" spans="4:4">
      <c r="D94" s="227"/>
    </row>
    <row r="95" spans="4:4">
      <c r="D95" s="227"/>
    </row>
    <row r="96" spans="4:4">
      <c r="D96" s="227"/>
    </row>
    <row r="97" spans="4:4">
      <c r="D97" s="227"/>
    </row>
    <row r="98" spans="4:4">
      <c r="D98" s="227"/>
    </row>
    <row r="99" spans="4:4">
      <c r="D99" s="227"/>
    </row>
    <row r="100" spans="4:4">
      <c r="D100" s="227"/>
    </row>
    <row r="101" spans="4:4">
      <c r="D101" s="227"/>
    </row>
    <row r="102" spans="4:4">
      <c r="D102" s="227"/>
    </row>
    <row r="103" spans="4:4">
      <c r="D103" s="227"/>
    </row>
    <row r="104" spans="4:4">
      <c r="D104" s="227"/>
    </row>
    <row r="105" spans="4:4">
      <c r="D105" s="227"/>
    </row>
    <row r="106" spans="4:4">
      <c r="D106" s="227"/>
    </row>
    <row r="107" spans="4:4">
      <c r="D107" s="227"/>
    </row>
    <row r="108" spans="4:4">
      <c r="D108" s="227"/>
    </row>
    <row r="109" spans="4:4">
      <c r="D109" s="227"/>
    </row>
    <row r="110" spans="4:4">
      <c r="D110" s="227"/>
    </row>
    <row r="111" spans="4:4">
      <c r="D111" s="227"/>
    </row>
    <row r="112" spans="4:4">
      <c r="D112" s="227"/>
    </row>
    <row r="113" spans="4:4">
      <c r="D113" s="227"/>
    </row>
    <row r="114" spans="4:4">
      <c r="D114" s="227"/>
    </row>
    <row r="115" spans="4:4">
      <c r="D115" s="227"/>
    </row>
    <row r="116" spans="4:4">
      <c r="D116" s="227"/>
    </row>
    <row r="117" spans="4:4">
      <c r="D117" s="227"/>
    </row>
    <row r="118" spans="4:4">
      <c r="D118" s="227"/>
    </row>
    <row r="119" spans="4:4">
      <c r="D119" s="227"/>
    </row>
    <row r="120" spans="4:4">
      <c r="D120" s="227"/>
    </row>
    <row r="121" spans="4:4">
      <c r="D121" s="227"/>
    </row>
    <row r="122" spans="4:4">
      <c r="D122" s="227"/>
    </row>
    <row r="123" spans="4:4">
      <c r="D123" s="227"/>
    </row>
    <row r="124" spans="4:4">
      <c r="D124" s="227"/>
    </row>
    <row r="125" spans="4:4">
      <c r="D125" s="227"/>
    </row>
    <row r="126" spans="4:4">
      <c r="D126" s="227"/>
    </row>
    <row r="127" spans="4:4">
      <c r="D127" s="227"/>
    </row>
    <row r="128" spans="4:4">
      <c r="D128" s="227"/>
    </row>
    <row r="129" spans="4:4">
      <c r="D129" s="227"/>
    </row>
    <row r="130" spans="4:4">
      <c r="D130" s="227"/>
    </row>
    <row r="131" spans="4:4">
      <c r="D131" s="227"/>
    </row>
    <row r="132" spans="4:4">
      <c r="D132" s="227"/>
    </row>
    <row r="133" spans="4:4">
      <c r="D133" s="227"/>
    </row>
    <row r="134" spans="4:4">
      <c r="D134" s="227"/>
    </row>
    <row r="135" spans="4:4">
      <c r="D135" s="227"/>
    </row>
    <row r="136" spans="4:4">
      <c r="D136" s="227"/>
    </row>
    <row r="137" spans="4:4">
      <c r="D137" s="227"/>
    </row>
    <row r="138" spans="4:4">
      <c r="D138" s="227"/>
    </row>
    <row r="139" spans="4:4">
      <c r="D139" s="227"/>
    </row>
    <row r="140" spans="4:4">
      <c r="D140" s="227"/>
    </row>
    <row r="141" spans="4:4">
      <c r="D141" s="227"/>
    </row>
    <row r="142" spans="4:4">
      <c r="D142" s="227"/>
    </row>
    <row r="143" spans="4:4">
      <c r="D143" s="227"/>
    </row>
    <row r="144" spans="4:4">
      <c r="D144" s="227"/>
    </row>
    <row r="145" spans="4:4">
      <c r="D145" s="227"/>
    </row>
    <row r="146" spans="4:4">
      <c r="D146" s="227"/>
    </row>
    <row r="147" spans="4:4">
      <c r="D147" s="227"/>
    </row>
    <row r="148" spans="4:4">
      <c r="D148" s="227"/>
    </row>
    <row r="149" spans="4:4">
      <c r="D149" s="227"/>
    </row>
    <row r="150" spans="4:4">
      <c r="D150" s="227"/>
    </row>
    <row r="151" spans="4:4">
      <c r="D151" s="227"/>
    </row>
    <row r="152" spans="4:4">
      <c r="D152" s="227"/>
    </row>
    <row r="153" spans="4:4">
      <c r="D153" s="227"/>
    </row>
    <row r="154" spans="4:4">
      <c r="D154" s="227"/>
    </row>
    <row r="155" spans="4:4">
      <c r="D155" s="227"/>
    </row>
    <row r="156" spans="4:4">
      <c r="D156" s="227"/>
    </row>
    <row r="157" spans="4:4">
      <c r="D157" s="227"/>
    </row>
    <row r="158" spans="4:4">
      <c r="D158" s="227"/>
    </row>
    <row r="159" spans="4:4">
      <c r="D159" s="227"/>
    </row>
    <row r="160" spans="4:4">
      <c r="D160" s="227"/>
    </row>
    <row r="161" spans="4:4">
      <c r="D161" s="227"/>
    </row>
    <row r="162" spans="4:4">
      <c r="D162" s="227"/>
    </row>
    <row r="163" spans="4:4">
      <c r="D163" s="227"/>
    </row>
    <row r="164" spans="4:4">
      <c r="D164" s="227"/>
    </row>
    <row r="165" spans="4:4">
      <c r="D165" s="227"/>
    </row>
    <row r="166" spans="4:4">
      <c r="D166" s="227"/>
    </row>
    <row r="167" spans="4:4">
      <c r="D167" s="227"/>
    </row>
    <row r="168" spans="4:4">
      <c r="D168" s="227"/>
    </row>
    <row r="169" spans="4:4">
      <c r="D169" s="227"/>
    </row>
    <row r="170" spans="4:4">
      <c r="D170" s="227"/>
    </row>
    <row r="171" spans="4:4">
      <c r="D171" s="227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2:L41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0" customWidth="1"/>
    <col min="4" max="4" width="62.5703125" style="170" customWidth="1"/>
    <col min="5" max="5" width="5.140625" style="915" customWidth="1"/>
    <col min="6" max="6" width="11" style="170" customWidth="1"/>
    <col min="7" max="7" width="7.140625" style="170" customWidth="1"/>
    <col min="8" max="8" width="9.140625" style="170" customWidth="1"/>
    <col min="9" max="9" width="14" style="170" customWidth="1"/>
    <col min="10" max="10" width="13.42578125" style="170" customWidth="1"/>
    <col min="11" max="16384" width="9.140625" style="170"/>
  </cols>
  <sheetData>
    <row r="2" spans="1:6">
      <c r="B2" s="1642" t="s">
        <v>17</v>
      </c>
      <c r="C2" s="1642"/>
      <c r="D2" s="1642"/>
    </row>
    <row r="3" spans="1:6">
      <c r="B3" s="1642" t="s">
        <v>104</v>
      </c>
      <c r="C3" s="1642"/>
      <c r="D3" s="1642"/>
    </row>
    <row r="4" spans="1:6">
      <c r="B4" s="1642" t="s">
        <v>103</v>
      </c>
      <c r="C4" s="1642"/>
      <c r="D4" s="1642"/>
    </row>
    <row r="5" spans="1:6">
      <c r="B5" s="1642" t="str">
        <f>"BASE PERIOD / TRUE UP PERIOD - 12/31/"&amp;Automation!$B$3&amp;" PER BOOK"</f>
        <v>BASE PERIOD / TRUE UP PERIOD - 12/31/2019 PER BOOK</v>
      </c>
      <c r="C5" s="1642"/>
      <c r="D5" s="1642"/>
    </row>
    <row r="6" spans="1:6">
      <c r="B6" s="1647" t="s">
        <v>2</v>
      </c>
      <c r="C6" s="1647"/>
      <c r="D6" s="1647"/>
    </row>
    <row r="7" spans="1:6">
      <c r="B7" s="172"/>
      <c r="C7" s="172"/>
      <c r="D7" s="172"/>
    </row>
    <row r="8" spans="1:6">
      <c r="B8" s="1642" t="s">
        <v>20</v>
      </c>
      <c r="C8" s="1642"/>
      <c r="D8" s="1642"/>
    </row>
    <row r="9" spans="1:6">
      <c r="A9" s="187"/>
    </row>
    <row r="10" spans="1:6">
      <c r="A10" s="187"/>
      <c r="B10" s="349"/>
      <c r="C10" s="350" t="s">
        <v>21</v>
      </c>
      <c r="D10" s="371"/>
      <c r="E10" s="919"/>
    </row>
    <row r="11" spans="1:6">
      <c r="A11" s="187" t="s">
        <v>3</v>
      </c>
      <c r="B11" s="304"/>
      <c r="C11" s="182" t="s">
        <v>111</v>
      </c>
      <c r="D11" s="298"/>
      <c r="E11" s="919" t="s">
        <v>3</v>
      </c>
    </row>
    <row r="12" spans="1:6">
      <c r="A12" s="187" t="s">
        <v>24</v>
      </c>
      <c r="B12" s="353" t="s">
        <v>22</v>
      </c>
      <c r="C12" s="191" t="s">
        <v>25</v>
      </c>
      <c r="D12" s="191" t="s">
        <v>8</v>
      </c>
      <c r="E12" s="919" t="s">
        <v>24</v>
      </c>
    </row>
    <row r="13" spans="1:6">
      <c r="A13" s="266"/>
      <c r="B13" s="354"/>
      <c r="C13" s="355"/>
      <c r="D13" s="373"/>
      <c r="E13" s="266"/>
    </row>
    <row r="14" spans="1:6">
      <c r="A14" s="187">
        <v>1</v>
      </c>
      <c r="B14" s="357" t="str">
        <f>"Dec-"&amp;RIGHT(Automation!$B$3-1,2)</f>
        <v>Dec-18</v>
      </c>
      <c r="C14" s="358">
        <v>131071.19467</v>
      </c>
      <c r="D14" s="270" t="str">
        <f>Automation!B3-1&amp;" Form 1; Page 450.1; Sch. Pg. 200; Line 33; Col. b"</f>
        <v>2018 Form 1; Page 450.1; Sch. Pg. 200; Line 33; Col. b</v>
      </c>
      <c r="E14" s="919">
        <f>A14</f>
        <v>1</v>
      </c>
      <c r="F14" s="200"/>
    </row>
    <row r="15" spans="1:6">
      <c r="A15" s="187">
        <f>A14+1</f>
        <v>2</v>
      </c>
      <c r="B15" s="359"/>
      <c r="C15" s="283"/>
      <c r="D15" s="283"/>
      <c r="E15" s="919">
        <f>E14+1</f>
        <v>2</v>
      </c>
    </row>
    <row r="16" spans="1:6">
      <c r="A16" s="187">
        <f t="shared" ref="A16:A20" si="0">A15+1</f>
        <v>3</v>
      </c>
      <c r="B16" s="357" t="str">
        <f>"Dec-"&amp;RIGHT(Automation!$B$3,2)</f>
        <v>Dec-19</v>
      </c>
      <c r="C16" s="324">
        <v>143542.72462000002</v>
      </c>
      <c r="D16" s="270" t="str">
        <f>Automation!B3&amp;" Form 1; Page 450.1; Sch. Pg. 200; Line 33; Col. b"</f>
        <v>2019 Form 1; Page 450.1; Sch. Pg. 200; Line 33; Col. b</v>
      </c>
      <c r="E16" s="919">
        <f t="shared" ref="E16:E20" si="1">E15+1</f>
        <v>3</v>
      </c>
      <c r="F16" s="200"/>
    </row>
    <row r="17" spans="1:12">
      <c r="A17" s="187">
        <f t="shared" si="0"/>
        <v>4</v>
      </c>
      <c r="B17" s="395"/>
      <c r="C17" s="284"/>
      <c r="D17" s="284"/>
      <c r="E17" s="919">
        <f t="shared" si="1"/>
        <v>4</v>
      </c>
    </row>
    <row r="18" spans="1:12">
      <c r="A18" s="187">
        <f t="shared" si="0"/>
        <v>5</v>
      </c>
      <c r="B18" s="349"/>
      <c r="C18" s="364"/>
      <c r="D18" s="374"/>
      <c r="E18" s="919">
        <f t="shared" si="1"/>
        <v>5</v>
      </c>
    </row>
    <row r="19" spans="1:12">
      <c r="A19" s="187">
        <f t="shared" si="0"/>
        <v>6</v>
      </c>
      <c r="B19" s="361" t="s">
        <v>26</v>
      </c>
      <c r="C19" s="366">
        <f>(C14+C16)/2</f>
        <v>137306.959645</v>
      </c>
      <c r="D19" s="376" t="str">
        <f>"Average of Line "&amp;A14&amp;" and Line "&amp;A16</f>
        <v>Average of Line 1 and Line 3</v>
      </c>
      <c r="E19" s="919">
        <f t="shared" si="1"/>
        <v>6</v>
      </c>
    </row>
    <row r="20" spans="1:12">
      <c r="A20" s="187">
        <f t="shared" si="0"/>
        <v>7</v>
      </c>
      <c r="B20" s="368"/>
      <c r="C20" s="369"/>
      <c r="D20" s="255"/>
      <c r="E20" s="919">
        <f t="shared" si="1"/>
        <v>7</v>
      </c>
    </row>
    <row r="21" spans="1:12">
      <c r="A21" s="187"/>
      <c r="B21" s="227"/>
      <c r="C21" s="370"/>
      <c r="D21" s="227"/>
      <c r="E21" s="919"/>
    </row>
    <row r="22" spans="1:12">
      <c r="A22" s="187"/>
      <c r="B22" s="227"/>
      <c r="C22" s="227"/>
      <c r="D22" s="227"/>
    </row>
    <row r="23" spans="1:12">
      <c r="B23" s="227"/>
      <c r="C23" s="227"/>
      <c r="D23" s="227"/>
      <c r="L23" s="205"/>
    </row>
    <row r="24" spans="1:12">
      <c r="B24" s="227"/>
      <c r="C24" s="227"/>
      <c r="D24" s="227"/>
    </row>
    <row r="25" spans="1:12">
      <c r="B25" s="227"/>
      <c r="C25" s="227"/>
      <c r="D25" s="227"/>
    </row>
    <row r="26" spans="1:12">
      <c r="B26" s="227"/>
      <c r="C26" s="227"/>
      <c r="D26" s="227"/>
    </row>
    <row r="27" spans="1:12">
      <c r="B27" s="227"/>
      <c r="C27" s="227"/>
      <c r="D27" s="227"/>
    </row>
    <row r="28" spans="1:12">
      <c r="B28" s="227"/>
      <c r="C28" s="227"/>
      <c r="D28" s="227"/>
    </row>
    <row r="29" spans="1:12">
      <c r="B29" s="227"/>
      <c r="C29" s="227"/>
      <c r="D29" s="227"/>
    </row>
    <row r="30" spans="1:12">
      <c r="B30" s="227"/>
      <c r="C30" s="227"/>
      <c r="D30" s="227"/>
    </row>
    <row r="31" spans="1:12">
      <c r="B31" s="227"/>
      <c r="C31" s="227"/>
      <c r="D31" s="227"/>
    </row>
    <row r="32" spans="1:12">
      <c r="B32" s="227"/>
      <c r="C32" s="227"/>
      <c r="D32" s="227"/>
    </row>
    <row r="33" spans="1:5">
      <c r="B33" s="227"/>
      <c r="C33" s="227"/>
      <c r="D33" s="227"/>
    </row>
    <row r="34" spans="1:5">
      <c r="B34" s="227"/>
      <c r="C34" s="227"/>
      <c r="D34" s="227"/>
    </row>
    <row r="35" spans="1:5" s="227" customFormat="1">
      <c r="A35" s="187"/>
      <c r="E35" s="919"/>
    </row>
    <row r="36" spans="1:5" s="227" customFormat="1">
      <c r="A36" s="187"/>
      <c r="E36" s="919"/>
    </row>
    <row r="37" spans="1:5" s="227" customFormat="1">
      <c r="A37" s="187"/>
      <c r="E37" s="919"/>
    </row>
    <row r="38" spans="1:5" s="227" customFormat="1">
      <c r="A38" s="187"/>
      <c r="E38" s="919"/>
    </row>
    <row r="39" spans="1:5" s="227" customFormat="1">
      <c r="A39" s="187"/>
      <c r="E39" s="919"/>
    </row>
    <row r="40" spans="1:5" s="227" customFormat="1">
      <c r="A40" s="187"/>
      <c r="E40" s="919"/>
    </row>
    <row r="41" spans="1:5" s="227" customFormat="1">
      <c r="A41" s="187"/>
      <c r="E41" s="9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158"/>
  <sheetViews>
    <sheetView zoomScale="80" zoomScaleNormal="80" zoomScalePageLayoutView="30" workbookViewId="0">
      <selection activeCell="C7" sqref="C7"/>
    </sheetView>
  </sheetViews>
  <sheetFormatPr defaultColWidth="8.85546875" defaultRowHeight="15.75"/>
  <cols>
    <col min="1" max="1" width="5.140625" style="397" customWidth="1"/>
    <col min="2" max="2" width="93.140625" style="4" bestFit="1" customWidth="1"/>
    <col min="3" max="3" width="10.42578125" style="4" customWidth="1"/>
    <col min="4" max="4" width="1.5703125" style="4" customWidth="1"/>
    <col min="5" max="5" width="16.85546875" style="4" customWidth="1"/>
    <col min="6" max="6" width="1.5703125" style="4" customWidth="1"/>
    <col min="7" max="7" width="43.42578125" style="4" customWidth="1"/>
    <col min="8" max="8" width="5.140625" style="587" customWidth="1"/>
    <col min="9" max="9" width="8.85546875" style="4"/>
    <col min="10" max="10" width="9.85546875" style="4" bestFit="1" customWidth="1"/>
    <col min="11" max="16384" width="8.85546875" style="4"/>
  </cols>
  <sheetData>
    <row r="1" spans="1:8">
      <c r="A1" s="966"/>
      <c r="B1" s="35"/>
      <c r="C1" s="35"/>
      <c r="D1" s="35"/>
      <c r="E1" s="90"/>
      <c r="F1" s="90"/>
      <c r="G1" s="90"/>
      <c r="H1" s="959"/>
    </row>
    <row r="2" spans="1:8">
      <c r="A2" s="966"/>
      <c r="B2" s="1628" t="str">
        <f>'Summary of Cost Components'!B2:D2</f>
        <v>SAN DIEGO GAS &amp; ELECTRIC COMPANY</v>
      </c>
      <c r="C2" s="1628"/>
      <c r="D2" s="1628"/>
      <c r="E2" s="1628"/>
      <c r="F2" s="1628"/>
      <c r="G2" s="1628"/>
      <c r="H2" s="959"/>
    </row>
    <row r="3" spans="1:8">
      <c r="B3" s="1628" t="str">
        <f>'Summary of Cost Components'!B3:D3</f>
        <v>CITIZENS' SHARE OF THE SX-PQ UNDERGROUND LINE SEGMENT</v>
      </c>
      <c r="C3" s="1628"/>
      <c r="D3" s="1628"/>
      <c r="E3" s="1628"/>
      <c r="F3" s="1628"/>
      <c r="G3" s="1628"/>
      <c r="H3" s="971"/>
    </row>
    <row r="4" spans="1:8">
      <c r="B4" s="1628" t="s">
        <v>960</v>
      </c>
      <c r="C4" s="1628"/>
      <c r="D4" s="1628"/>
      <c r="E4" s="1628"/>
      <c r="F4" s="1628"/>
      <c r="G4" s="1628"/>
      <c r="H4" s="971"/>
    </row>
    <row r="5" spans="1:8">
      <c r="B5" s="1629" t="str">
        <f>'A. Sec.1 - Direct Maintenance'!B5</f>
        <v>Base Period &amp; True-Up Period 12 - Months Ending December 31, 2019</v>
      </c>
      <c r="C5" s="1629"/>
      <c r="D5" s="1629"/>
      <c r="E5" s="1629"/>
      <c r="F5" s="1629"/>
      <c r="G5" s="1629"/>
      <c r="H5" s="971"/>
    </row>
    <row r="6" spans="1:8">
      <c r="B6" s="1630" t="s">
        <v>2</v>
      </c>
      <c r="C6" s="1630"/>
      <c r="D6" s="1630"/>
      <c r="E6" s="1630"/>
      <c r="F6" s="1630"/>
      <c r="G6" s="1630"/>
      <c r="H6" s="972"/>
    </row>
    <row r="7" spans="1:8">
      <c r="A7" s="967"/>
      <c r="B7" s="1181"/>
      <c r="C7" s="1181"/>
      <c r="D7" s="1181"/>
      <c r="E7" s="1181"/>
      <c r="F7" s="1181"/>
      <c r="G7" s="90"/>
      <c r="H7" s="959"/>
    </row>
    <row r="8" spans="1:8">
      <c r="A8" s="968" t="s">
        <v>3</v>
      </c>
      <c r="B8" s="39"/>
      <c r="C8" s="39"/>
      <c r="D8" s="39"/>
      <c r="E8" s="34"/>
      <c r="F8" s="34"/>
      <c r="G8" s="40"/>
      <c r="H8" s="968" t="s">
        <v>3</v>
      </c>
    </row>
    <row r="9" spans="1:8">
      <c r="A9" s="968" t="s">
        <v>24</v>
      </c>
      <c r="B9" s="41"/>
      <c r="C9" s="41"/>
      <c r="D9" s="41"/>
      <c r="E9" s="939" t="s">
        <v>123</v>
      </c>
      <c r="F9" s="43"/>
      <c r="G9" s="939" t="s">
        <v>8</v>
      </c>
      <c r="H9" s="968" t="s">
        <v>24</v>
      </c>
    </row>
    <row r="10" spans="1:8">
      <c r="A10" s="968"/>
      <c r="B10" s="39"/>
      <c r="C10" s="39"/>
      <c r="D10" s="39"/>
      <c r="E10" s="34"/>
      <c r="F10" s="43"/>
      <c r="G10" s="34"/>
      <c r="H10" s="968"/>
    </row>
    <row r="11" spans="1:8">
      <c r="A11" s="968">
        <v>1</v>
      </c>
      <c r="B11" s="42" t="s">
        <v>278</v>
      </c>
      <c r="C11" s="42"/>
      <c r="D11" s="42"/>
      <c r="E11" s="90"/>
      <c r="F11" s="90"/>
      <c r="G11" s="34"/>
      <c r="H11" s="968">
        <f>A11</f>
        <v>1</v>
      </c>
    </row>
    <row r="12" spans="1:8">
      <c r="A12" s="968">
        <f>A11+1</f>
        <v>2</v>
      </c>
      <c r="B12" s="1403" t="s">
        <v>794</v>
      </c>
      <c r="C12" s="1021"/>
      <c r="D12" s="1021"/>
      <c r="E12" s="1022">
        <f>E52</f>
        <v>7.1772947054196106E-3</v>
      </c>
      <c r="F12" s="927"/>
      <c r="G12" s="33" t="str">
        <f>"Page 2; Line "&amp;A52</f>
        <v>Page 2; Line 6</v>
      </c>
      <c r="H12" s="968">
        <f>H11+1</f>
        <v>2</v>
      </c>
    </row>
    <row r="13" spans="1:8">
      <c r="A13" s="968">
        <f t="shared" ref="A13:A35" si="0">A12+1</f>
        <v>3</v>
      </c>
      <c r="B13" s="35"/>
      <c r="C13" s="974"/>
      <c r="D13" s="974"/>
      <c r="E13" s="1023"/>
      <c r="F13" s="45"/>
      <c r="G13" s="33"/>
      <c r="H13" s="968">
        <f t="shared" ref="H13:H35" si="1">H12+1</f>
        <v>3</v>
      </c>
    </row>
    <row r="14" spans="1:8">
      <c r="A14" s="968">
        <f t="shared" si="0"/>
        <v>4</v>
      </c>
      <c r="B14" s="1403" t="s">
        <v>797</v>
      </c>
      <c r="C14" s="1021"/>
      <c r="D14" s="1021"/>
      <c r="E14" s="1022">
        <f>E57</f>
        <v>7.6591955700835591E-3</v>
      </c>
      <c r="F14" s="927"/>
      <c r="G14" s="33" t="str">
        <f>"Page 2; Line "&amp;A57</f>
        <v>Page 2; Line 11</v>
      </c>
      <c r="H14" s="968">
        <f t="shared" si="1"/>
        <v>4</v>
      </c>
    </row>
    <row r="15" spans="1:8">
      <c r="A15" s="968">
        <f t="shared" si="0"/>
        <v>5</v>
      </c>
      <c r="B15" s="90"/>
      <c r="C15" s="967"/>
      <c r="D15" s="967"/>
      <c r="E15" s="1024"/>
      <c r="F15" s="928"/>
      <c r="G15" s="38"/>
      <c r="H15" s="968">
        <f t="shared" si="1"/>
        <v>5</v>
      </c>
    </row>
    <row r="16" spans="1:8">
      <c r="A16" s="968">
        <f t="shared" si="0"/>
        <v>6</v>
      </c>
      <c r="B16" s="90" t="s">
        <v>798</v>
      </c>
      <c r="C16" s="967"/>
      <c r="D16" s="967"/>
      <c r="E16" s="1385">
        <f>E62</f>
        <v>9.8516581304337672E-3</v>
      </c>
      <c r="F16" s="928"/>
      <c r="G16" s="38" t="str">
        <f>"Page 2; Line "&amp;A62</f>
        <v>Page 2; Line 16</v>
      </c>
      <c r="H16" s="968">
        <f t="shared" si="1"/>
        <v>6</v>
      </c>
    </row>
    <row r="17" spans="1:8">
      <c r="A17" s="968">
        <f t="shared" si="0"/>
        <v>7</v>
      </c>
      <c r="B17" s="90"/>
      <c r="C17" s="967"/>
      <c r="D17" s="967"/>
      <c r="E17" s="1024"/>
      <c r="F17" s="928"/>
      <c r="G17" s="38"/>
      <c r="H17" s="968">
        <f t="shared" si="1"/>
        <v>7</v>
      </c>
    </row>
    <row r="18" spans="1:8">
      <c r="A18" s="968">
        <f t="shared" si="0"/>
        <v>8</v>
      </c>
      <c r="B18" s="1403" t="s">
        <v>799</v>
      </c>
      <c r="C18" s="1021"/>
      <c r="D18" s="1021"/>
      <c r="E18" s="1022">
        <f>E67</f>
        <v>2.659695757031051E-4</v>
      </c>
      <c r="F18" s="927"/>
      <c r="G18" s="33" t="str">
        <f>"Page 2; Line "&amp;A67</f>
        <v>Page 2; Line 21</v>
      </c>
      <c r="H18" s="968">
        <f t="shared" si="1"/>
        <v>8</v>
      </c>
    </row>
    <row r="19" spans="1:8">
      <c r="A19" s="968">
        <f t="shared" si="0"/>
        <v>9</v>
      </c>
      <c r="B19" s="35"/>
      <c r="C19" s="974"/>
      <c r="D19" s="974"/>
      <c r="E19" s="1023"/>
      <c r="F19" s="45"/>
      <c r="G19" s="38"/>
      <c r="H19" s="968">
        <f t="shared" si="1"/>
        <v>9</v>
      </c>
    </row>
    <row r="20" spans="1:8">
      <c r="A20" s="968">
        <f t="shared" si="0"/>
        <v>10</v>
      </c>
      <c r="B20" s="1403" t="s">
        <v>800</v>
      </c>
      <c r="C20" s="974"/>
      <c r="D20" s="974"/>
      <c r="E20" s="1022">
        <f>E80</f>
        <v>1.7608311653381236E-3</v>
      </c>
      <c r="F20" s="45"/>
      <c r="G20" s="33" t="str">
        <f>"Page 2; Line "&amp;A80</f>
        <v>Page 2; Line 34</v>
      </c>
      <c r="H20" s="968">
        <f t="shared" si="1"/>
        <v>10</v>
      </c>
    </row>
    <row r="21" spans="1:8">
      <c r="A21" s="968">
        <f t="shared" si="0"/>
        <v>11</v>
      </c>
      <c r="B21" s="35"/>
      <c r="C21" s="974"/>
      <c r="D21" s="974"/>
      <c r="E21" s="1023"/>
      <c r="F21" s="45"/>
      <c r="G21" s="38"/>
      <c r="H21" s="968">
        <f t="shared" si="1"/>
        <v>11</v>
      </c>
    </row>
    <row r="22" spans="1:8">
      <c r="A22" s="968">
        <f t="shared" si="0"/>
        <v>12</v>
      </c>
      <c r="B22" s="1403" t="s">
        <v>871</v>
      </c>
      <c r="C22" s="1021"/>
      <c r="D22" s="1021"/>
      <c r="E22" s="1022">
        <f>E97</f>
        <v>4.0707799667981928E-3</v>
      </c>
      <c r="F22" s="927"/>
      <c r="G22" s="33" t="str">
        <f>"Page 2; Line "&amp;A97</f>
        <v>Page 2; Line 51</v>
      </c>
      <c r="H22" s="968">
        <f t="shared" si="1"/>
        <v>12</v>
      </c>
    </row>
    <row r="23" spans="1:8">
      <c r="A23" s="968">
        <f t="shared" si="0"/>
        <v>13</v>
      </c>
      <c r="B23" s="1198"/>
      <c r="C23" s="973"/>
      <c r="D23" s="973"/>
      <c r="E23" s="1025"/>
      <c r="F23" s="67"/>
      <c r="G23" s="38"/>
      <c r="H23" s="968">
        <f t="shared" si="1"/>
        <v>13</v>
      </c>
    </row>
    <row r="24" spans="1:8">
      <c r="A24" s="968">
        <f t="shared" si="0"/>
        <v>14</v>
      </c>
      <c r="B24" s="44" t="s">
        <v>801</v>
      </c>
      <c r="C24" s="1021"/>
      <c r="D24" s="1021"/>
      <c r="E24" s="1026">
        <f>SUM(E12:E22)</f>
        <v>3.0785729113776358E-2</v>
      </c>
      <c r="F24" s="931"/>
      <c r="G24" s="38" t="str">
        <f>"Sum Lines "&amp;A12&amp;" thru "&amp;A22&amp;""</f>
        <v>Sum Lines 2 thru 12</v>
      </c>
      <c r="H24" s="968">
        <f t="shared" si="1"/>
        <v>14</v>
      </c>
    </row>
    <row r="25" spans="1:8">
      <c r="A25" s="968">
        <f t="shared" si="0"/>
        <v>15</v>
      </c>
      <c r="B25" s="35"/>
      <c r="C25" s="974"/>
      <c r="D25" s="974"/>
      <c r="E25" s="1027"/>
      <c r="F25" s="46"/>
      <c r="G25" s="38"/>
      <c r="H25" s="968">
        <f t="shared" si="1"/>
        <v>15</v>
      </c>
    </row>
    <row r="26" spans="1:8">
      <c r="A26" s="968">
        <f t="shared" si="0"/>
        <v>16</v>
      </c>
      <c r="B26" s="90" t="s">
        <v>820</v>
      </c>
      <c r="C26" s="1028">
        <f>'A. Sec.1 - Direct Maintenance'!C25</f>
        <v>1.0274999999999999E-2</v>
      </c>
      <c r="D26" s="974"/>
      <c r="E26" s="1029">
        <f>E24*C26</f>
        <v>3.1632336664405206E-4</v>
      </c>
      <c r="F26" s="854"/>
      <c r="G26" s="38" t="str">
        <f>"Line "&amp;A24&amp;" x Franchise Fee Rate"</f>
        <v>Line 14 x Franchise Fee Rate</v>
      </c>
      <c r="H26" s="968">
        <f t="shared" si="1"/>
        <v>16</v>
      </c>
    </row>
    <row r="27" spans="1:8">
      <c r="A27" s="968">
        <f t="shared" si="0"/>
        <v>17</v>
      </c>
      <c r="B27" s="35"/>
      <c r="C27" s="974"/>
      <c r="D27" s="974"/>
      <c r="E27" s="1030"/>
      <c r="F27" s="66"/>
      <c r="G27" s="38"/>
      <c r="H27" s="968">
        <f t="shared" si="1"/>
        <v>17</v>
      </c>
    </row>
    <row r="28" spans="1:8" ht="16.5" thickBot="1">
      <c r="A28" s="968">
        <f t="shared" si="0"/>
        <v>18</v>
      </c>
      <c r="B28" s="35" t="s">
        <v>802</v>
      </c>
      <c r="C28" s="974"/>
      <c r="D28" s="974"/>
      <c r="E28" s="1031">
        <f>E24+E26</f>
        <v>3.110205248042041E-2</v>
      </c>
      <c r="F28" s="934"/>
      <c r="G28" s="38" t="str">
        <f>"Line "&amp;A24&amp;" + Line "&amp;A26</f>
        <v>Line 14 + Line 16</v>
      </c>
      <c r="H28" s="968">
        <f t="shared" si="1"/>
        <v>18</v>
      </c>
    </row>
    <row r="29" spans="1:8" ht="16.5" thickTop="1">
      <c r="A29" s="968">
        <f t="shared" si="0"/>
        <v>19</v>
      </c>
      <c r="B29" s="90"/>
      <c r="C29" s="967"/>
      <c r="D29" s="967"/>
      <c r="E29" s="970"/>
      <c r="F29" s="47"/>
      <c r="G29" s="40"/>
      <c r="H29" s="968">
        <f t="shared" si="1"/>
        <v>19</v>
      </c>
    </row>
    <row r="30" spans="1:8">
      <c r="A30" s="968">
        <f t="shared" si="0"/>
        <v>20</v>
      </c>
      <c r="B30" s="48" t="s">
        <v>824</v>
      </c>
      <c r="C30" s="1032"/>
      <c r="D30" s="1032"/>
      <c r="E30" s="967"/>
      <c r="F30" s="90"/>
      <c r="G30" s="40"/>
      <c r="H30" s="968">
        <f t="shared" si="1"/>
        <v>20</v>
      </c>
    </row>
    <row r="31" spans="1:8">
      <c r="A31" s="968">
        <f t="shared" si="0"/>
        <v>21</v>
      </c>
      <c r="B31" s="49" t="s">
        <v>803</v>
      </c>
      <c r="C31" s="1033"/>
      <c r="D31" s="1033"/>
      <c r="E31" s="604">
        <v>27000</v>
      </c>
      <c r="F31" s="43"/>
      <c r="G31" s="33" t="s">
        <v>279</v>
      </c>
      <c r="H31" s="968">
        <f t="shared" si="1"/>
        <v>21</v>
      </c>
    </row>
    <row r="32" spans="1:8">
      <c r="A32" s="968">
        <f t="shared" si="0"/>
        <v>22</v>
      </c>
      <c r="B32" s="49"/>
      <c r="C32" s="1033"/>
      <c r="D32" s="1033"/>
      <c r="E32" s="1033"/>
      <c r="F32" s="49"/>
      <c r="G32" s="38"/>
      <c r="H32" s="968">
        <f t="shared" si="1"/>
        <v>22</v>
      </c>
    </row>
    <row r="33" spans="1:8">
      <c r="A33" s="968">
        <f t="shared" si="0"/>
        <v>23</v>
      </c>
      <c r="B33" s="44" t="s">
        <v>804</v>
      </c>
      <c r="C33" s="1021"/>
      <c r="D33" s="1021"/>
      <c r="E33" s="1034">
        <f>+E28</f>
        <v>3.110205248042041E-2</v>
      </c>
      <c r="F33" s="929"/>
      <c r="G33" s="38" t="str">
        <f>"Line "&amp;A28&amp;" Above"</f>
        <v>Line 18 Above</v>
      </c>
      <c r="H33" s="968">
        <f t="shared" si="1"/>
        <v>23</v>
      </c>
    </row>
    <row r="34" spans="1:8">
      <c r="A34" s="968">
        <f t="shared" si="0"/>
        <v>24</v>
      </c>
      <c r="B34" s="35"/>
      <c r="C34" s="974"/>
      <c r="D34" s="974"/>
      <c r="E34" s="1035"/>
      <c r="F34" s="935"/>
      <c r="G34" s="38"/>
      <c r="H34" s="968">
        <f t="shared" si="1"/>
        <v>24</v>
      </c>
    </row>
    <row r="35" spans="1:8" ht="16.5" thickBot="1">
      <c r="A35" s="968">
        <f t="shared" si="0"/>
        <v>25</v>
      </c>
      <c r="B35" s="35" t="s">
        <v>825</v>
      </c>
      <c r="C35" s="1021"/>
      <c r="D35" s="1021"/>
      <c r="E35" s="1036">
        <f>E31*E33</f>
        <v>839.75541697135111</v>
      </c>
      <c r="F35" s="936"/>
      <c r="G35" s="38" t="str">
        <f>"Line "&amp;A31&amp;" x Line "&amp;A33</f>
        <v>Line 21 x Line 23</v>
      </c>
      <c r="H35" s="968">
        <f t="shared" si="1"/>
        <v>25</v>
      </c>
    </row>
    <row r="36" spans="1:8" ht="16.5" thickTop="1">
      <c r="A36" s="968"/>
      <c r="B36" s="35"/>
      <c r="C36" s="44"/>
      <c r="D36" s="44"/>
      <c r="E36" s="1004"/>
      <c r="F36" s="936"/>
      <c r="G36" s="38"/>
      <c r="H36" s="968"/>
    </row>
    <row r="37" spans="1:8">
      <c r="A37" s="967"/>
      <c r="B37" s="35"/>
      <c r="C37" s="35"/>
      <c r="D37" s="35"/>
      <c r="E37" s="1198"/>
      <c r="F37" s="1198"/>
      <c r="G37" s="90"/>
      <c r="H37" s="959"/>
    </row>
    <row r="38" spans="1:8">
      <c r="A38" s="967"/>
      <c r="B38" s="1631" t="str">
        <f>B2</f>
        <v>SAN DIEGO GAS &amp; ELECTRIC COMPANY</v>
      </c>
      <c r="C38" s="1631"/>
      <c r="D38" s="1631"/>
      <c r="E38" s="1631"/>
      <c r="F38" s="1631"/>
      <c r="G38" s="1631"/>
      <c r="H38" s="959"/>
    </row>
    <row r="39" spans="1:8">
      <c r="B39" s="1631" t="str">
        <f>B3</f>
        <v>CITIZENS' SHARE OF THE SX-PQ UNDERGROUND LINE SEGMENT</v>
      </c>
      <c r="C39" s="1631"/>
      <c r="D39" s="1631"/>
      <c r="E39" s="1631"/>
      <c r="F39" s="1631"/>
      <c r="G39" s="1631"/>
      <c r="H39" s="973"/>
    </row>
    <row r="40" spans="1:8">
      <c r="B40" s="1628" t="str">
        <f>B4</f>
        <v xml:space="preserve">Section 2 - Non-Direct Expense Cost Component </v>
      </c>
      <c r="C40" s="1628"/>
      <c r="D40" s="1628"/>
      <c r="E40" s="1628"/>
      <c r="F40" s="1628"/>
      <c r="G40" s="1628"/>
      <c r="H40" s="974"/>
    </row>
    <row r="41" spans="1:8">
      <c r="B41" s="1629" t="str">
        <f>B5</f>
        <v>Base Period &amp; True-Up Period 12 - Months Ending December 31, 2019</v>
      </c>
      <c r="C41" s="1629"/>
      <c r="D41" s="1629"/>
      <c r="E41" s="1629"/>
      <c r="F41" s="1629"/>
      <c r="G41" s="1629"/>
      <c r="H41" s="974"/>
    </row>
    <row r="42" spans="1:8">
      <c r="B42" s="1630" t="str">
        <f>B6</f>
        <v>($1,000)</v>
      </c>
      <c r="C42" s="1622"/>
      <c r="D42" s="1622"/>
      <c r="E42" s="1622"/>
      <c r="F42" s="1622"/>
      <c r="G42" s="1622"/>
      <c r="H42" s="1185"/>
    </row>
    <row r="43" spans="1:8">
      <c r="A43" s="969"/>
      <c r="B43" s="39"/>
      <c r="C43" s="39"/>
      <c r="D43" s="39"/>
      <c r="E43" s="40"/>
      <c r="F43" s="40"/>
      <c r="G43" s="40"/>
      <c r="H43" s="959"/>
    </row>
    <row r="44" spans="1:8">
      <c r="A44" s="968" t="s">
        <v>3</v>
      </c>
      <c r="B44" s="39"/>
      <c r="C44" s="39"/>
      <c r="D44" s="39"/>
      <c r="E44" s="34"/>
      <c r="F44" s="34"/>
      <c r="G44" s="40"/>
      <c r="H44" s="968" t="s">
        <v>3</v>
      </c>
    </row>
    <row r="45" spans="1:8">
      <c r="A45" s="968" t="s">
        <v>24</v>
      </c>
      <c r="B45" s="41"/>
      <c r="C45" s="41"/>
      <c r="D45" s="41"/>
      <c r="E45" s="939" t="s">
        <v>123</v>
      </c>
      <c r="F45" s="38"/>
      <c r="G45" s="939" t="s">
        <v>8</v>
      </c>
      <c r="H45" s="968" t="s">
        <v>24</v>
      </c>
    </row>
    <row r="46" spans="1:8">
      <c r="A46" s="968"/>
      <c r="B46" s="39"/>
      <c r="C46" s="39"/>
      <c r="D46" s="39"/>
      <c r="E46" s="53"/>
      <c r="F46" s="34"/>
      <c r="G46" s="40"/>
      <c r="H46" s="968"/>
    </row>
    <row r="47" spans="1:8">
      <c r="A47" s="968">
        <v>1</v>
      </c>
      <c r="B47" s="51" t="s">
        <v>787</v>
      </c>
      <c r="C47" s="51"/>
      <c r="D47" s="51"/>
      <c r="E47" s="1199">
        <f>'AV-4'!C16</f>
        <v>5036002.4735652609</v>
      </c>
      <c r="F47" s="34"/>
      <c r="G47" s="38" t="str">
        <f>"AV-4; Line "&amp;'AV-4'!A16&amp;""</f>
        <v>AV-4; Line 6</v>
      </c>
      <c r="H47" s="968">
        <f>A47</f>
        <v>1</v>
      </c>
    </row>
    <row r="48" spans="1:8">
      <c r="A48" s="968">
        <f>A47+1</f>
        <v>2</v>
      </c>
      <c r="B48" s="39"/>
      <c r="C48" s="39"/>
      <c r="D48" s="39"/>
      <c r="E48" s="1037"/>
      <c r="F48" s="53"/>
      <c r="G48" s="40"/>
      <c r="H48" s="968">
        <f>H47+1</f>
        <v>2</v>
      </c>
    </row>
    <row r="49" spans="1:10">
      <c r="A49" s="968">
        <f t="shared" ref="A49:A97" si="2">A48+1</f>
        <v>3</v>
      </c>
      <c r="B49" s="54" t="s">
        <v>872</v>
      </c>
      <c r="C49" s="54"/>
      <c r="D49" s="54"/>
      <c r="E49" s="1038"/>
      <c r="F49" s="55"/>
      <c r="G49" s="40"/>
      <c r="H49" s="968">
        <f t="shared" ref="H49:H97" si="3">H48+1</f>
        <v>3</v>
      </c>
    </row>
    <row r="50" spans="1:10">
      <c r="A50" s="968">
        <f t="shared" si="2"/>
        <v>4</v>
      </c>
      <c r="B50" s="56" t="s">
        <v>795</v>
      </c>
      <c r="C50" s="56"/>
      <c r="D50" s="56"/>
      <c r="E50" s="1436">
        <f>'Stmt AH'!E27</f>
        <v>36144.87389000001</v>
      </c>
      <c r="F50" s="34"/>
      <c r="G50" s="52" t="str">
        <f>"Statement AH; Line "&amp;'Stmt AH'!A27</f>
        <v>Statement AH; Line 17</v>
      </c>
      <c r="H50" s="968">
        <f t="shared" si="3"/>
        <v>4</v>
      </c>
      <c r="J50" s="1200"/>
    </row>
    <row r="51" spans="1:10">
      <c r="A51" s="968">
        <f t="shared" si="2"/>
        <v>5</v>
      </c>
      <c r="B51" s="56"/>
      <c r="C51" s="56"/>
      <c r="D51" s="56"/>
      <c r="E51" s="622"/>
      <c r="F51" s="57"/>
      <c r="G51" s="38"/>
      <c r="H51" s="968">
        <f t="shared" si="3"/>
        <v>5</v>
      </c>
      <c r="J51" s="1200"/>
    </row>
    <row r="52" spans="1:10">
      <c r="A52" s="968">
        <f t="shared" si="2"/>
        <v>6</v>
      </c>
      <c r="B52" s="49" t="s">
        <v>796</v>
      </c>
      <c r="C52" s="36"/>
      <c r="D52" s="36"/>
      <c r="E52" s="1039">
        <f>E50/E47</f>
        <v>7.1772947054196106E-3</v>
      </c>
      <c r="F52" s="89"/>
      <c r="G52" s="58" t="str">
        <f>"Line "&amp;A50&amp;" / Line "&amp;A47</f>
        <v>Line 4 / Line 1</v>
      </c>
      <c r="H52" s="968">
        <f t="shared" si="3"/>
        <v>6</v>
      </c>
      <c r="J52" s="1200"/>
    </row>
    <row r="53" spans="1:10">
      <c r="A53" s="968">
        <f t="shared" si="2"/>
        <v>7</v>
      </c>
      <c r="B53" s="56"/>
      <c r="C53" s="56"/>
      <c r="D53" s="56"/>
      <c r="E53" s="1201"/>
      <c r="F53" s="1202"/>
      <c r="G53" s="38"/>
      <c r="H53" s="968">
        <f t="shared" si="3"/>
        <v>7</v>
      </c>
    </row>
    <row r="54" spans="1:10">
      <c r="A54" s="968">
        <f t="shared" si="2"/>
        <v>8</v>
      </c>
      <c r="B54" s="54" t="s">
        <v>873</v>
      </c>
      <c r="C54" s="54"/>
      <c r="D54" s="54"/>
      <c r="E54" s="1203"/>
      <c r="F54" s="1204"/>
      <c r="G54" s="60"/>
      <c r="H54" s="968">
        <f t="shared" si="3"/>
        <v>8</v>
      </c>
    </row>
    <row r="55" spans="1:10">
      <c r="A55" s="968">
        <f t="shared" si="2"/>
        <v>9</v>
      </c>
      <c r="B55" s="49" t="s">
        <v>826</v>
      </c>
      <c r="C55" s="49"/>
      <c r="D55" s="49"/>
      <c r="E55" s="1040">
        <f>'Stmt AH'!E49</f>
        <v>38571.727836460894</v>
      </c>
      <c r="F55" s="34"/>
      <c r="G55" s="52" t="str">
        <f>"Statement AH; Line "&amp;'Stmt AH'!A49</f>
        <v>Statement AH; Line 39</v>
      </c>
      <c r="H55" s="968">
        <f t="shared" si="3"/>
        <v>9</v>
      </c>
    </row>
    <row r="56" spans="1:10">
      <c r="A56" s="968">
        <f t="shared" si="2"/>
        <v>10</v>
      </c>
      <c r="B56" s="39"/>
      <c r="C56" s="39"/>
      <c r="D56" s="39"/>
      <c r="E56" s="1203"/>
      <c r="F56" s="1204"/>
      <c r="G56" s="52"/>
      <c r="H56" s="968">
        <f t="shared" si="3"/>
        <v>10</v>
      </c>
    </row>
    <row r="57" spans="1:10">
      <c r="A57" s="968">
        <f t="shared" si="2"/>
        <v>11</v>
      </c>
      <c r="B57" s="1000" t="s">
        <v>280</v>
      </c>
      <c r="C57" s="37"/>
      <c r="D57" s="37"/>
      <c r="E57" s="1039">
        <f>E55/E47</f>
        <v>7.6591955700835591E-3</v>
      </c>
      <c r="F57" s="89"/>
      <c r="G57" s="58" t="str">
        <f>"Line "&amp;A55&amp;" / Line "&amp;A47</f>
        <v>Line 9 / Line 1</v>
      </c>
      <c r="H57" s="968">
        <f t="shared" si="3"/>
        <v>11</v>
      </c>
    </row>
    <row r="58" spans="1:10">
      <c r="A58" s="968">
        <f t="shared" si="2"/>
        <v>12</v>
      </c>
      <c r="B58" s="37"/>
      <c r="C58" s="37"/>
      <c r="D58" s="37"/>
      <c r="E58" s="1041"/>
      <c r="F58" s="61"/>
      <c r="G58" s="52"/>
      <c r="H58" s="968">
        <f t="shared" si="3"/>
        <v>12</v>
      </c>
    </row>
    <row r="59" spans="1:10">
      <c r="A59" s="968">
        <f t="shared" si="2"/>
        <v>13</v>
      </c>
      <c r="B59" s="54" t="s">
        <v>874</v>
      </c>
      <c r="C59" s="37"/>
      <c r="D59" s="37"/>
      <c r="E59" s="1041"/>
      <c r="F59" s="61"/>
      <c r="G59" s="52"/>
      <c r="H59" s="968">
        <f t="shared" si="3"/>
        <v>13</v>
      </c>
    </row>
    <row r="60" spans="1:10">
      <c r="A60" s="968">
        <f t="shared" si="2"/>
        <v>14</v>
      </c>
      <c r="B60" s="1000" t="s">
        <v>798</v>
      </c>
      <c r="C60" s="37"/>
      <c r="D60" s="37"/>
      <c r="E60" s="1040">
        <f>'Stmt AK'!E27</f>
        <v>49612.974713583768</v>
      </c>
      <c r="F60" s="61"/>
      <c r="G60" s="52" t="str">
        <f>"Statement AK; Line "&amp;'Stmt AK'!A27</f>
        <v>Statement AK; Line 17</v>
      </c>
      <c r="H60" s="968">
        <f t="shared" si="3"/>
        <v>14</v>
      </c>
    </row>
    <row r="61" spans="1:10">
      <c r="A61" s="968">
        <f t="shared" si="2"/>
        <v>15</v>
      </c>
      <c r="B61" s="37"/>
      <c r="C61" s="37"/>
      <c r="D61" s="37"/>
      <c r="E61" s="1203"/>
      <c r="F61" s="61"/>
      <c r="G61" s="52"/>
      <c r="H61" s="968">
        <f t="shared" si="3"/>
        <v>15</v>
      </c>
    </row>
    <row r="62" spans="1:10">
      <c r="A62" s="968">
        <f t="shared" si="2"/>
        <v>16</v>
      </c>
      <c r="B62" s="1000" t="s">
        <v>878</v>
      </c>
      <c r="C62" s="37"/>
      <c r="D62" s="37"/>
      <c r="E62" s="1039">
        <f>E60/E47</f>
        <v>9.8516581304337672E-3</v>
      </c>
      <c r="F62" s="61"/>
      <c r="G62" s="58" t="str">
        <f>"Line "&amp;A60&amp;" / Line "&amp;A47</f>
        <v>Line 14 / Line 1</v>
      </c>
      <c r="H62" s="968">
        <f t="shared" si="3"/>
        <v>16</v>
      </c>
    </row>
    <row r="63" spans="1:10">
      <c r="A63" s="968">
        <f t="shared" si="2"/>
        <v>17</v>
      </c>
      <c r="B63" s="37"/>
      <c r="C63" s="37"/>
      <c r="D63" s="37"/>
      <c r="E63" s="1041"/>
      <c r="F63" s="61"/>
      <c r="G63" s="52"/>
      <c r="H63" s="968">
        <f t="shared" si="3"/>
        <v>17</v>
      </c>
    </row>
    <row r="64" spans="1:10">
      <c r="A64" s="968">
        <f t="shared" si="2"/>
        <v>18</v>
      </c>
      <c r="B64" s="54" t="s">
        <v>875</v>
      </c>
      <c r="C64" s="54"/>
      <c r="D64" s="54"/>
      <c r="E64" s="1041"/>
      <c r="F64" s="61"/>
      <c r="G64" s="52"/>
      <c r="H64" s="968">
        <f t="shared" si="3"/>
        <v>18</v>
      </c>
    </row>
    <row r="65" spans="1:8">
      <c r="A65" s="968">
        <f t="shared" si="2"/>
        <v>19</v>
      </c>
      <c r="B65" s="49" t="s">
        <v>799</v>
      </c>
      <c r="C65" s="49"/>
      <c r="D65" s="49"/>
      <c r="E65" s="1040">
        <f>'Stmt AK'!E38</f>
        <v>1339.4234411339403</v>
      </c>
      <c r="F65" s="34"/>
      <c r="G65" s="52" t="str">
        <f>"Statement AK; Line "&amp;'Stmt AK'!A38</f>
        <v>Statement AK; Line 28</v>
      </c>
      <c r="H65" s="968">
        <f t="shared" si="3"/>
        <v>19</v>
      </c>
    </row>
    <row r="66" spans="1:8">
      <c r="A66" s="968">
        <f t="shared" si="2"/>
        <v>20</v>
      </c>
      <c r="B66" s="37"/>
      <c r="C66" s="37"/>
      <c r="D66" s="37"/>
      <c r="E66" s="1041"/>
      <c r="F66" s="61"/>
      <c r="G66" s="52"/>
      <c r="H66" s="968">
        <f t="shared" si="3"/>
        <v>20</v>
      </c>
    </row>
    <row r="67" spans="1:8">
      <c r="A67" s="968">
        <f t="shared" si="2"/>
        <v>21</v>
      </c>
      <c r="B67" s="1001" t="s">
        <v>281</v>
      </c>
      <c r="C67" s="50"/>
      <c r="D67" s="50"/>
      <c r="E67" s="1039">
        <f>E65/E47</f>
        <v>2.659695757031051E-4</v>
      </c>
      <c r="F67" s="89"/>
      <c r="G67" s="58" t="str">
        <f>"Line "&amp;A65&amp;" / Line "&amp;A47</f>
        <v>Line 19 / Line 1</v>
      </c>
      <c r="H67" s="968">
        <f t="shared" si="3"/>
        <v>21</v>
      </c>
    </row>
    <row r="68" spans="1:8">
      <c r="A68" s="968">
        <f t="shared" si="2"/>
        <v>22</v>
      </c>
      <c r="B68" s="37"/>
      <c r="C68" s="37"/>
      <c r="D68" s="37"/>
      <c r="E68" s="1041"/>
      <c r="F68" s="61"/>
      <c r="G68" s="52"/>
      <c r="H68" s="968">
        <f t="shared" si="3"/>
        <v>22</v>
      </c>
    </row>
    <row r="69" spans="1:8">
      <c r="A69" s="968">
        <f t="shared" si="2"/>
        <v>23</v>
      </c>
      <c r="B69" s="54" t="s">
        <v>876</v>
      </c>
      <c r="C69" s="54"/>
      <c r="D69" s="54"/>
      <c r="E69" s="1042"/>
      <c r="F69" s="62"/>
      <c r="G69" s="38"/>
      <c r="H69" s="968">
        <f t="shared" si="3"/>
        <v>23</v>
      </c>
    </row>
    <row r="70" spans="1:8">
      <c r="A70" s="968">
        <f t="shared" si="2"/>
        <v>24</v>
      </c>
      <c r="B70" s="1002" t="s">
        <v>282</v>
      </c>
      <c r="C70" s="35"/>
      <c r="D70" s="35"/>
      <c r="E70" s="1042"/>
      <c r="F70" s="62"/>
      <c r="G70" s="38"/>
      <c r="H70" s="968">
        <f t="shared" si="3"/>
        <v>24</v>
      </c>
    </row>
    <row r="71" spans="1:8">
      <c r="A71" s="968">
        <f t="shared" si="2"/>
        <v>25</v>
      </c>
      <c r="B71" s="44" t="s">
        <v>653</v>
      </c>
      <c r="C71" s="44"/>
      <c r="D71" s="44"/>
      <c r="E71" s="1043">
        <f>'Stmt AL'!G15</f>
        <v>50559.74647056016</v>
      </c>
      <c r="F71" s="34"/>
      <c r="G71" s="38" t="str">
        <f>"Statement AL; Line "&amp;'Stmt AL'!A15</f>
        <v>Statement AL; Line 5</v>
      </c>
      <c r="H71" s="968">
        <f t="shared" si="3"/>
        <v>25</v>
      </c>
    </row>
    <row r="72" spans="1:8">
      <c r="A72" s="968">
        <f t="shared" si="2"/>
        <v>26</v>
      </c>
      <c r="B72" s="44" t="s">
        <v>654</v>
      </c>
      <c r="C72" s="44"/>
      <c r="D72" s="44"/>
      <c r="E72" s="1044">
        <f>'Stmt AL'!G19</f>
        <v>25324.807208075756</v>
      </c>
      <c r="F72" s="34"/>
      <c r="G72" s="38" t="str">
        <f>"Statement AL; Line "&amp;'Stmt AL'!A19</f>
        <v>Statement AL; Line 9</v>
      </c>
      <c r="H72" s="968">
        <f t="shared" si="3"/>
        <v>26</v>
      </c>
    </row>
    <row r="73" spans="1:8">
      <c r="A73" s="968">
        <f t="shared" si="2"/>
        <v>27</v>
      </c>
      <c r="B73" s="44" t="s">
        <v>655</v>
      </c>
      <c r="C73" s="44"/>
      <c r="D73" s="44"/>
      <c r="E73" s="1044">
        <f>'Stmt AL'!E29</f>
        <v>9339.5752158076139</v>
      </c>
      <c r="F73" s="34"/>
      <c r="G73" s="38" t="str">
        <f>"Statement AL; Line "&amp;'Stmt AL'!A29</f>
        <v>Statement AL; Line 19</v>
      </c>
      <c r="H73" s="968">
        <f t="shared" si="3"/>
        <v>27</v>
      </c>
    </row>
    <row r="74" spans="1:8">
      <c r="A74" s="968">
        <f t="shared" si="2"/>
        <v>28</v>
      </c>
      <c r="B74" s="44" t="s">
        <v>283</v>
      </c>
      <c r="C74" s="35"/>
      <c r="D74" s="35"/>
      <c r="E74" s="1045">
        <f>SUM(E71:E73)</f>
        <v>85224.128894443536</v>
      </c>
      <c r="F74" s="59"/>
      <c r="G74" s="33" t="str">
        <f>"Sum Lines "&amp;A71&amp;" thru "&amp;A73</f>
        <v>Sum Lines 25 thru 27</v>
      </c>
      <c r="H74" s="968">
        <f t="shared" si="3"/>
        <v>28</v>
      </c>
    </row>
    <row r="75" spans="1:8">
      <c r="A75" s="968">
        <f t="shared" si="2"/>
        <v>29</v>
      </c>
      <c r="B75" s="35"/>
      <c r="C75" s="35"/>
      <c r="D75" s="35"/>
      <c r="E75" s="1046"/>
      <c r="F75" s="63"/>
      <c r="G75" s="33"/>
      <c r="H75" s="968">
        <f t="shared" si="3"/>
        <v>29</v>
      </c>
    </row>
    <row r="76" spans="1:8">
      <c r="A76" s="968">
        <f t="shared" si="2"/>
        <v>30</v>
      </c>
      <c r="B76" s="64" t="s">
        <v>818</v>
      </c>
      <c r="C76" s="64"/>
      <c r="D76" s="64"/>
      <c r="E76" s="1047">
        <f>'Stmt AV'!G110</f>
        <v>0.10404975937221624</v>
      </c>
      <c r="F76" s="34"/>
      <c r="G76" s="33" t="str">
        <f>"Statement AV2; Line "&amp;'Stmt AV'!A110</f>
        <v>Statement AV2; Line 31</v>
      </c>
      <c r="H76" s="968">
        <f t="shared" si="3"/>
        <v>30</v>
      </c>
    </row>
    <row r="77" spans="1:8">
      <c r="A77" s="968">
        <f t="shared" si="2"/>
        <v>31</v>
      </c>
      <c r="B77" s="35"/>
      <c r="C77" s="35"/>
      <c r="D77" s="35"/>
      <c r="E77" s="1046"/>
      <c r="F77" s="63"/>
      <c r="G77" s="33"/>
      <c r="H77" s="968">
        <f t="shared" si="3"/>
        <v>31</v>
      </c>
    </row>
    <row r="78" spans="1:8">
      <c r="A78" s="968">
        <f t="shared" si="2"/>
        <v>32</v>
      </c>
      <c r="B78" s="44" t="s">
        <v>284</v>
      </c>
      <c r="C78" s="35"/>
      <c r="D78" s="35"/>
      <c r="E78" s="1048">
        <f>E74*E76</f>
        <v>8867.5501041735915</v>
      </c>
      <c r="F78" s="59"/>
      <c r="G78" s="38" t="str">
        <f>"Line "&amp;A74&amp;" x Line "&amp;A76</f>
        <v>Line 28 x Line 30</v>
      </c>
      <c r="H78" s="968">
        <f t="shared" si="3"/>
        <v>32</v>
      </c>
    </row>
    <row r="79" spans="1:8">
      <c r="A79" s="968">
        <f t="shared" si="2"/>
        <v>33</v>
      </c>
      <c r="B79" s="35"/>
      <c r="C79" s="35"/>
      <c r="D79" s="35"/>
      <c r="E79" s="1046"/>
      <c r="F79" s="63"/>
      <c r="G79" s="33"/>
      <c r="H79" s="968">
        <f t="shared" si="3"/>
        <v>33</v>
      </c>
    </row>
    <row r="80" spans="1:8">
      <c r="A80" s="968">
        <f t="shared" si="2"/>
        <v>34</v>
      </c>
      <c r="B80" s="44" t="s">
        <v>285</v>
      </c>
      <c r="C80" s="35"/>
      <c r="D80" s="35"/>
      <c r="E80" s="1039">
        <f>E78/E47</f>
        <v>1.7608311653381236E-3</v>
      </c>
      <c r="F80" s="89"/>
      <c r="G80" s="58" t="str">
        <f>"Line "&amp;A78&amp;" / Line "&amp;A47</f>
        <v>Line 32 / Line 1</v>
      </c>
      <c r="H80" s="968">
        <f t="shared" si="3"/>
        <v>34</v>
      </c>
    </row>
    <row r="81" spans="1:9">
      <c r="A81" s="968">
        <f t="shared" si="2"/>
        <v>35</v>
      </c>
      <c r="B81" s="44"/>
      <c r="C81" s="35"/>
      <c r="D81" s="35"/>
      <c r="E81" s="999"/>
      <c r="F81" s="89"/>
      <c r="G81" s="58"/>
      <c r="H81" s="968">
        <f t="shared" si="3"/>
        <v>35</v>
      </c>
    </row>
    <row r="82" spans="1:9">
      <c r="A82" s="968">
        <f t="shared" si="2"/>
        <v>36</v>
      </c>
      <c r="B82" s="54" t="s">
        <v>877</v>
      </c>
      <c r="C82" s="1355"/>
      <c r="D82" s="1355"/>
      <c r="E82" s="1353"/>
      <c r="F82" s="1353"/>
      <c r="G82" s="1353"/>
      <c r="H82" s="968">
        <f t="shared" si="3"/>
        <v>36</v>
      </c>
    </row>
    <row r="83" spans="1:9">
      <c r="A83" s="968">
        <f t="shared" si="2"/>
        <v>37</v>
      </c>
      <c r="B83" s="64" t="s">
        <v>815</v>
      </c>
      <c r="C83" s="1355"/>
      <c r="D83" s="1355"/>
      <c r="E83" s="826">
        <f>'AV-4'!C14</f>
        <v>29317.665249830297</v>
      </c>
      <c r="F83" s="1353"/>
      <c r="G83" s="33" t="str">
        <f>"AV-4; Line "&amp;'AV-4'!F14</f>
        <v>AV-4; Line 4</v>
      </c>
      <c r="H83" s="968">
        <f t="shared" si="3"/>
        <v>37</v>
      </c>
    </row>
    <row r="84" spans="1:9">
      <c r="A84" s="968">
        <f t="shared" si="2"/>
        <v>38</v>
      </c>
      <c r="B84" s="54"/>
      <c r="C84" s="1355"/>
      <c r="D84" s="1355"/>
      <c r="E84" s="1353"/>
      <c r="F84" s="1353"/>
      <c r="G84" s="1353"/>
      <c r="H84" s="968">
        <f t="shared" si="3"/>
        <v>38</v>
      </c>
    </row>
    <row r="85" spans="1:9">
      <c r="A85" s="968">
        <f t="shared" si="2"/>
        <v>39</v>
      </c>
      <c r="B85" s="64" t="s">
        <v>814</v>
      </c>
      <c r="C85" s="1355"/>
      <c r="D85" s="1355"/>
      <c r="E85" s="1438">
        <f>'AV-4'!C15</f>
        <v>55105.899285469299</v>
      </c>
      <c r="F85" s="1353"/>
      <c r="G85" s="33" t="str">
        <f>"AV-4; Line "&amp;'AV-4'!F15</f>
        <v>AV-4; Line 5</v>
      </c>
      <c r="H85" s="968">
        <f t="shared" si="3"/>
        <v>39</v>
      </c>
    </row>
    <row r="86" spans="1:9" ht="20.25">
      <c r="A86" s="968">
        <f t="shared" si="2"/>
        <v>40</v>
      </c>
      <c r="B86" s="1376"/>
      <c r="C86" s="1370"/>
      <c r="D86" s="1370"/>
      <c r="E86" s="1377"/>
      <c r="F86" s="1378"/>
      <c r="G86" s="1376"/>
      <c r="H86" s="968">
        <f t="shared" si="3"/>
        <v>40</v>
      </c>
    </row>
    <row r="87" spans="1:9">
      <c r="A87" s="968">
        <f t="shared" si="2"/>
        <v>41</v>
      </c>
      <c r="B87" s="1440" t="s">
        <v>816</v>
      </c>
      <c r="C87" s="1370"/>
      <c r="D87" s="1370"/>
      <c r="E87" s="1439">
        <f>E83+E85</f>
        <v>84423.564535299593</v>
      </c>
      <c r="F87" s="1374"/>
      <c r="G87" s="33" t="str">
        <f>"Line "&amp;A83&amp;" + Line "&amp;A85</f>
        <v>Line 37 + Line 39</v>
      </c>
      <c r="H87" s="968">
        <f t="shared" si="3"/>
        <v>41</v>
      </c>
    </row>
    <row r="88" spans="1:9">
      <c r="A88" s="968">
        <f t="shared" si="2"/>
        <v>42</v>
      </c>
      <c r="B88" s="1373"/>
      <c r="C88" s="1370"/>
      <c r="D88" s="1370"/>
      <c r="E88" s="1379"/>
      <c r="F88" s="1374"/>
      <c r="G88" s="1375"/>
      <c r="H88" s="968">
        <f t="shared" si="3"/>
        <v>42</v>
      </c>
    </row>
    <row r="89" spans="1:9">
      <c r="A89" s="968">
        <f t="shared" si="2"/>
        <v>43</v>
      </c>
      <c r="B89" s="64" t="s">
        <v>818</v>
      </c>
      <c r="C89" s="1370"/>
      <c r="D89" s="1370"/>
      <c r="E89" s="1437">
        <f>E76</f>
        <v>0.10404975937221624</v>
      </c>
      <c r="F89" s="1374"/>
      <c r="G89" s="38" t="str">
        <f>"Line "&amp;A76</f>
        <v>Line 30</v>
      </c>
      <c r="H89" s="968">
        <f t="shared" si="3"/>
        <v>43</v>
      </c>
    </row>
    <row r="90" spans="1:9">
      <c r="A90" s="968">
        <f t="shared" si="2"/>
        <v>44</v>
      </c>
      <c r="B90" s="1376"/>
      <c r="C90" s="1370"/>
      <c r="D90" s="1370"/>
      <c r="E90" s="1380"/>
      <c r="F90" s="1381"/>
      <c r="G90" s="1376"/>
      <c r="H90" s="968">
        <f t="shared" si="3"/>
        <v>44</v>
      </c>
    </row>
    <row r="91" spans="1:9">
      <c r="A91" s="968">
        <f t="shared" si="2"/>
        <v>45</v>
      </c>
      <c r="B91" s="44" t="s">
        <v>827</v>
      </c>
      <c r="C91" s="1370"/>
      <c r="D91" s="1370"/>
      <c r="E91" s="1441">
        <f>E87*E89</f>
        <v>8784.2515752426916</v>
      </c>
      <c r="F91" s="1383"/>
      <c r="G91" s="33" t="str">
        <f>"Line "&amp;A87&amp;" * Line "&amp;A89</f>
        <v>Line 41 * Line 43</v>
      </c>
      <c r="H91" s="968">
        <f t="shared" si="3"/>
        <v>45</v>
      </c>
    </row>
    <row r="92" spans="1:9">
      <c r="A92" s="968">
        <f t="shared" si="2"/>
        <v>46</v>
      </c>
      <c r="B92" s="1354"/>
      <c r="C92" s="1370"/>
      <c r="D92" s="1370"/>
      <c r="E92" s="1382"/>
      <c r="F92" s="1383"/>
      <c r="G92" s="1352"/>
      <c r="H92" s="968">
        <f t="shared" si="3"/>
        <v>46</v>
      </c>
    </row>
    <row r="93" spans="1:9">
      <c r="A93" s="968">
        <f t="shared" si="2"/>
        <v>47</v>
      </c>
      <c r="B93" s="49" t="s">
        <v>817</v>
      </c>
      <c r="C93" s="1370"/>
      <c r="D93" s="1370"/>
      <c r="E93" s="1521">
        <f>'Stmt AJ'!E27</f>
        <v>11716.206406892918</v>
      </c>
      <c r="F93" s="1383"/>
      <c r="G93" s="52" t="str">
        <f>"Statement AJ; Line "&amp;'Stmt AJ'!A27</f>
        <v>Statement AJ; Line 17</v>
      </c>
      <c r="H93" s="968">
        <f t="shared" si="3"/>
        <v>47</v>
      </c>
      <c r="I93" s="1370"/>
    </row>
    <row r="94" spans="1:9">
      <c r="A94" s="968">
        <f t="shared" si="2"/>
        <v>48</v>
      </c>
      <c r="B94" s="49"/>
      <c r="C94" s="1370"/>
      <c r="D94" s="1370"/>
      <c r="E94" s="1133"/>
      <c r="F94" s="1383"/>
      <c r="G94" s="52"/>
      <c r="H94" s="968">
        <f t="shared" si="3"/>
        <v>48</v>
      </c>
    </row>
    <row r="95" spans="1:9">
      <c r="A95" s="968">
        <f t="shared" si="2"/>
        <v>49</v>
      </c>
      <c r="B95" s="49" t="s">
        <v>927</v>
      </c>
      <c r="C95" s="1370"/>
      <c r="D95" s="1370"/>
      <c r="E95" s="1133">
        <f>E91+E93</f>
        <v>20500.457982135609</v>
      </c>
      <c r="F95" s="1383"/>
      <c r="G95" s="33" t="str">
        <f>"Line "&amp;A91&amp;" + Line "&amp;A93</f>
        <v>Line 45 + Line 47</v>
      </c>
      <c r="H95" s="968">
        <f t="shared" si="3"/>
        <v>49</v>
      </c>
    </row>
    <row r="96" spans="1:9">
      <c r="A96" s="968">
        <f t="shared" si="2"/>
        <v>50</v>
      </c>
      <c r="B96" s="1376"/>
      <c r="C96" s="1370"/>
      <c r="D96" s="1370"/>
      <c r="E96" s="1404"/>
      <c r="F96" s="1376"/>
      <c r="G96" s="1376"/>
      <c r="H96" s="968">
        <f t="shared" si="3"/>
        <v>50</v>
      </c>
    </row>
    <row r="97" spans="1:8" ht="16.5" thickBot="1">
      <c r="A97" s="968">
        <f t="shared" si="2"/>
        <v>51</v>
      </c>
      <c r="B97" s="44" t="s">
        <v>952</v>
      </c>
      <c r="C97" s="1370"/>
      <c r="D97" s="1370"/>
      <c r="E97" s="1442">
        <f>E95/E47</f>
        <v>4.0707799667981928E-3</v>
      </c>
      <c r="F97" s="1384"/>
      <c r="G97" s="33" t="str">
        <f>"Line "&amp;A95&amp;" / Line "&amp;A47&amp;""</f>
        <v>Line 49 / Line 1</v>
      </c>
      <c r="H97" s="968">
        <f t="shared" si="3"/>
        <v>51</v>
      </c>
    </row>
    <row r="98" spans="1:8" ht="16.5" thickTop="1">
      <c r="A98" s="970"/>
    </row>
    <row r="99" spans="1:8">
      <c r="A99" s="970"/>
    </row>
    <row r="100" spans="1:8">
      <c r="A100" s="970"/>
    </row>
    <row r="101" spans="1:8">
      <c r="A101" s="970"/>
    </row>
    <row r="102" spans="1:8">
      <c r="A102" s="970"/>
    </row>
    <row r="103" spans="1:8">
      <c r="A103" s="970"/>
    </row>
    <row r="104" spans="1:8">
      <c r="A104" s="970"/>
    </row>
    <row r="105" spans="1:8">
      <c r="A105" s="970"/>
    </row>
    <row r="106" spans="1:8">
      <c r="A106" s="970"/>
    </row>
    <row r="107" spans="1:8">
      <c r="A107" s="970"/>
    </row>
    <row r="108" spans="1:8">
      <c r="A108" s="970"/>
    </row>
    <row r="109" spans="1:8">
      <c r="A109" s="970"/>
    </row>
    <row r="110" spans="1:8">
      <c r="A110" s="970"/>
    </row>
    <row r="111" spans="1:8">
      <c r="A111" s="970"/>
    </row>
    <row r="112" spans="1:8">
      <c r="A112" s="970"/>
    </row>
    <row r="113" spans="1:1">
      <c r="A113" s="970"/>
    </row>
    <row r="114" spans="1:1">
      <c r="A114" s="970"/>
    </row>
    <row r="115" spans="1:1">
      <c r="A115" s="970"/>
    </row>
    <row r="116" spans="1:1">
      <c r="A116" s="970"/>
    </row>
    <row r="117" spans="1:1">
      <c r="A117" s="970"/>
    </row>
    <row r="118" spans="1:1">
      <c r="A118" s="970"/>
    </row>
    <row r="119" spans="1:1">
      <c r="A119" s="970"/>
    </row>
    <row r="120" spans="1:1">
      <c r="A120" s="970"/>
    </row>
    <row r="121" spans="1:1">
      <c r="A121" s="970"/>
    </row>
    <row r="122" spans="1:1">
      <c r="A122" s="970"/>
    </row>
    <row r="123" spans="1:1">
      <c r="A123" s="970"/>
    </row>
    <row r="124" spans="1:1">
      <c r="A124" s="970"/>
    </row>
    <row r="125" spans="1:1">
      <c r="A125" s="970"/>
    </row>
    <row r="126" spans="1:1">
      <c r="A126" s="970"/>
    </row>
    <row r="127" spans="1:1">
      <c r="A127" s="970"/>
    </row>
    <row r="128" spans="1:1">
      <c r="A128" s="970"/>
    </row>
    <row r="129" spans="1:1">
      <c r="A129" s="970"/>
    </row>
    <row r="130" spans="1:1">
      <c r="A130" s="970"/>
    </row>
    <row r="131" spans="1:1">
      <c r="A131" s="970"/>
    </row>
    <row r="132" spans="1:1">
      <c r="A132" s="970"/>
    </row>
    <row r="133" spans="1:1">
      <c r="A133" s="970"/>
    </row>
    <row r="134" spans="1:1">
      <c r="A134" s="970"/>
    </row>
    <row r="135" spans="1:1">
      <c r="A135" s="970"/>
    </row>
    <row r="136" spans="1:1">
      <c r="A136" s="970"/>
    </row>
    <row r="137" spans="1:1">
      <c r="A137" s="970"/>
    </row>
    <row r="138" spans="1:1">
      <c r="A138" s="970"/>
    </row>
    <row r="139" spans="1:1">
      <c r="A139" s="970"/>
    </row>
    <row r="140" spans="1:1">
      <c r="A140" s="970"/>
    </row>
    <row r="141" spans="1:1">
      <c r="A141" s="970"/>
    </row>
    <row r="142" spans="1:1">
      <c r="A142" s="970"/>
    </row>
    <row r="143" spans="1:1">
      <c r="A143" s="970"/>
    </row>
    <row r="144" spans="1:1">
      <c r="A144" s="970"/>
    </row>
    <row r="145" spans="1:6">
      <c r="A145" s="970"/>
    </row>
    <row r="146" spans="1:6">
      <c r="A146" s="970"/>
    </row>
    <row r="147" spans="1:6">
      <c r="A147" s="970"/>
    </row>
    <row r="148" spans="1:6">
      <c r="A148" s="970"/>
    </row>
    <row r="149" spans="1:6">
      <c r="A149" s="970"/>
    </row>
    <row r="150" spans="1:6">
      <c r="A150" s="970"/>
    </row>
    <row r="151" spans="1:6">
      <c r="A151" s="970"/>
    </row>
    <row r="152" spans="1:6">
      <c r="A152" s="970"/>
      <c r="B152" s="90"/>
      <c r="C152" s="90"/>
      <c r="D152" s="90"/>
      <c r="E152" s="90"/>
      <c r="F152" s="90"/>
    </row>
    <row r="153" spans="1:6">
      <c r="A153" s="970"/>
      <c r="B153" s="90"/>
      <c r="C153" s="90"/>
      <c r="D153" s="90"/>
      <c r="E153" s="90"/>
      <c r="F153" s="90"/>
    </row>
    <row r="158" spans="1:6">
      <c r="A158" s="967"/>
      <c r="B158" s="90"/>
      <c r="C158" s="90"/>
      <c r="D158" s="90"/>
      <c r="E158" s="65"/>
      <c r="F158" s="65"/>
    </row>
  </sheetData>
  <mergeCells count="10">
    <mergeCell ref="B2:G2"/>
    <mergeCell ref="B40:G40"/>
    <mergeCell ref="B41:G41"/>
    <mergeCell ref="B42:G42"/>
    <mergeCell ref="B3:G3"/>
    <mergeCell ref="B4:G4"/>
    <mergeCell ref="B5:G5"/>
    <mergeCell ref="B6:G6"/>
    <mergeCell ref="B39:G39"/>
    <mergeCell ref="B38:G38"/>
  </mergeCells>
  <printOptions horizontalCentered="1"/>
  <pageMargins left="0.5" right="0.5" top="0.5" bottom="0.5" header="0.25" footer="0.25"/>
  <pageSetup scale="53" fitToHeight="0" orientation="portrait" r:id="rId1"/>
  <headerFooter scaleWithDoc="0">
    <oddFooter>&amp;C&amp;"Times New Roman,Regular"&amp;10Section 2
Page &amp;P of 2</oddFooter>
  </headerFooter>
  <rowBreaks count="1" manualBreakCount="1">
    <brk id="36" max="7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2:L41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0" customWidth="1"/>
    <col min="4" max="4" width="62.5703125" style="170" customWidth="1"/>
    <col min="5" max="5" width="5.140625" style="915" customWidth="1"/>
    <col min="6" max="6" width="11" style="170" customWidth="1"/>
    <col min="7" max="7" width="7.140625" style="170" customWidth="1"/>
    <col min="8" max="8" width="9.140625" style="170" customWidth="1"/>
    <col min="9" max="9" width="14" style="170" customWidth="1"/>
    <col min="10" max="10" width="13.42578125" style="170" customWidth="1"/>
    <col min="11" max="16384" width="9.140625" style="170"/>
  </cols>
  <sheetData>
    <row r="2" spans="1:6">
      <c r="B2" s="1642" t="s">
        <v>17</v>
      </c>
      <c r="C2" s="1642"/>
      <c r="D2" s="1642"/>
    </row>
    <row r="3" spans="1:6">
      <c r="B3" s="1642" t="s">
        <v>104</v>
      </c>
      <c r="C3" s="1642"/>
      <c r="D3" s="1642"/>
    </row>
    <row r="4" spans="1:6">
      <c r="B4" s="1642" t="s">
        <v>103</v>
      </c>
      <c r="C4" s="1642"/>
      <c r="D4" s="1642"/>
    </row>
    <row r="5" spans="1:6">
      <c r="B5" s="1642" t="str">
        <f>"BASE PERIOD / TRUE UP PERIOD - 12/31/"&amp;Automation!$B$3&amp;" PER BOOK"</f>
        <v>BASE PERIOD / TRUE UP PERIOD - 12/31/2019 PER BOOK</v>
      </c>
      <c r="C5" s="1642"/>
      <c r="D5" s="1642"/>
    </row>
    <row r="6" spans="1:6">
      <c r="B6" s="1647" t="s">
        <v>2</v>
      </c>
      <c r="C6" s="1647"/>
      <c r="D6" s="1647"/>
    </row>
    <row r="7" spans="1:6">
      <c r="B7" s="172"/>
      <c r="C7" s="172"/>
      <c r="D7" s="172"/>
    </row>
    <row r="8" spans="1:6">
      <c r="A8" s="187"/>
      <c r="B8" s="1642" t="s">
        <v>93</v>
      </c>
      <c r="C8" s="1642"/>
      <c r="D8" s="1642"/>
    </row>
    <row r="9" spans="1:6">
      <c r="A9" s="187"/>
      <c r="E9" s="919"/>
    </row>
    <row r="10" spans="1:6">
      <c r="A10" s="187"/>
      <c r="B10" s="349"/>
      <c r="C10" s="403" t="s">
        <v>21</v>
      </c>
      <c r="D10" s="371"/>
      <c r="E10" s="919"/>
    </row>
    <row r="11" spans="1:6">
      <c r="A11" s="187" t="s">
        <v>3</v>
      </c>
      <c r="B11" s="304"/>
      <c r="C11" s="182" t="s">
        <v>112</v>
      </c>
      <c r="D11" s="298"/>
      <c r="E11" s="919" t="s">
        <v>3</v>
      </c>
    </row>
    <row r="12" spans="1:6">
      <c r="A12" s="187" t="s">
        <v>24</v>
      </c>
      <c r="B12" s="353" t="s">
        <v>22</v>
      </c>
      <c r="C12" s="191" t="s">
        <v>25</v>
      </c>
      <c r="D12" s="191" t="s">
        <v>8</v>
      </c>
      <c r="E12" s="919" t="s">
        <v>24</v>
      </c>
    </row>
    <row r="13" spans="1:6">
      <c r="A13" s="266"/>
      <c r="B13" s="354"/>
      <c r="C13" s="355"/>
      <c r="D13" s="373"/>
      <c r="E13" s="266"/>
    </row>
    <row r="14" spans="1:6">
      <c r="A14" s="187">
        <v>1</v>
      </c>
      <c r="B14" s="357" t="str">
        <f>"Dec-"&amp;RIGHT(Automation!$B$3-1,2)</f>
        <v>Dec-18</v>
      </c>
      <c r="C14" s="358">
        <v>162544.22695999997</v>
      </c>
      <c r="D14" s="270" t="str">
        <f>Automation!B3-1&amp;" Form 1; Page 450.1; Sch. Pg. 200; Line 33; Col. b"</f>
        <v>2018 Form 1; Page 450.1; Sch. Pg. 200; Line 33; Col. b</v>
      </c>
      <c r="E14" s="919">
        <f>A14</f>
        <v>1</v>
      </c>
      <c r="F14" s="200"/>
    </row>
    <row r="15" spans="1:6">
      <c r="A15" s="187">
        <f>A14+1</f>
        <v>2</v>
      </c>
      <c r="B15" s="359"/>
      <c r="C15" s="283"/>
      <c r="D15" s="283"/>
      <c r="E15" s="919">
        <f>E14+1</f>
        <v>2</v>
      </c>
    </row>
    <row r="16" spans="1:6">
      <c r="A16" s="187">
        <f t="shared" ref="A16:A20" si="0">A15+1</f>
        <v>3</v>
      </c>
      <c r="B16" s="357" t="str">
        <f>"Dec-"&amp;RIGHT(Automation!$B$3,2)</f>
        <v>Dec-19</v>
      </c>
      <c r="C16" s="324">
        <v>184120.52502999999</v>
      </c>
      <c r="D16" s="270" t="str">
        <f>Automation!B3&amp;" Form 1; Page 450.1; Sch. Pg. 200; Line 33; Col. b"</f>
        <v>2019 Form 1; Page 450.1; Sch. Pg. 200; Line 33; Col. b</v>
      </c>
      <c r="E16" s="919">
        <f t="shared" ref="E16:E20" si="1">E15+1</f>
        <v>3</v>
      </c>
      <c r="F16" s="200"/>
    </row>
    <row r="17" spans="1:12">
      <c r="A17" s="187">
        <f t="shared" si="0"/>
        <v>4</v>
      </c>
      <c r="B17" s="368"/>
      <c r="C17" s="404"/>
      <c r="D17" s="362"/>
      <c r="E17" s="919">
        <f t="shared" si="1"/>
        <v>4</v>
      </c>
    </row>
    <row r="18" spans="1:12">
      <c r="A18" s="187">
        <f t="shared" si="0"/>
        <v>5</v>
      </c>
      <c r="B18" s="361"/>
      <c r="C18" s="364"/>
      <c r="D18" s="373"/>
      <c r="E18" s="919">
        <f t="shared" si="1"/>
        <v>5</v>
      </c>
    </row>
    <row r="19" spans="1:12">
      <c r="A19" s="187">
        <f t="shared" si="0"/>
        <v>6</v>
      </c>
      <c r="B19" s="361" t="s">
        <v>26</v>
      </c>
      <c r="C19" s="366">
        <f>(C14+C16)/2</f>
        <v>173332.37599499998</v>
      </c>
      <c r="D19" s="376" t="str">
        <f>"Average of Line "&amp;A14&amp;" and Line "&amp;A16</f>
        <v>Average of Line 1 and Line 3</v>
      </c>
      <c r="E19" s="919">
        <f t="shared" si="1"/>
        <v>6</v>
      </c>
    </row>
    <row r="20" spans="1:12">
      <c r="A20" s="187">
        <f t="shared" si="0"/>
        <v>7</v>
      </c>
      <c r="B20" s="368"/>
      <c r="C20" s="369"/>
      <c r="D20" s="255"/>
      <c r="E20" s="919">
        <f t="shared" si="1"/>
        <v>7</v>
      </c>
    </row>
    <row r="21" spans="1:12">
      <c r="A21" s="187"/>
      <c r="B21" s="227"/>
      <c r="C21" s="370"/>
      <c r="D21" s="227"/>
      <c r="E21" s="919"/>
    </row>
    <row r="22" spans="1:12">
      <c r="A22" s="187"/>
      <c r="B22" s="227"/>
      <c r="C22" s="227"/>
      <c r="D22" s="227"/>
    </row>
    <row r="23" spans="1:12">
      <c r="B23" s="227"/>
      <c r="C23" s="227"/>
      <c r="D23" s="227"/>
      <c r="L23" s="205"/>
    </row>
    <row r="24" spans="1:12">
      <c r="B24" s="227"/>
      <c r="C24" s="227"/>
      <c r="D24" s="227"/>
    </row>
    <row r="25" spans="1:12">
      <c r="B25" s="227"/>
      <c r="C25" s="227"/>
      <c r="D25" s="227"/>
    </row>
    <row r="26" spans="1:12">
      <c r="B26" s="227"/>
      <c r="C26" s="227"/>
      <c r="D26" s="227"/>
    </row>
    <row r="27" spans="1:12">
      <c r="B27" s="227"/>
      <c r="C27" s="227"/>
      <c r="D27" s="227"/>
    </row>
    <row r="28" spans="1:12">
      <c r="B28" s="227"/>
      <c r="C28" s="227"/>
      <c r="D28" s="227"/>
    </row>
    <row r="29" spans="1:12">
      <c r="B29" s="227"/>
      <c r="C29" s="227"/>
      <c r="D29" s="227"/>
    </row>
    <row r="30" spans="1:12">
      <c r="B30" s="227"/>
      <c r="C30" s="227"/>
      <c r="D30" s="227"/>
    </row>
    <row r="31" spans="1:12">
      <c r="B31" s="227"/>
      <c r="C31" s="227"/>
      <c r="D31" s="227"/>
    </row>
    <row r="32" spans="1:12">
      <c r="B32" s="227"/>
      <c r="C32" s="227"/>
      <c r="D32" s="227"/>
    </row>
    <row r="33" spans="1:5">
      <c r="B33" s="227"/>
      <c r="C33" s="227"/>
      <c r="D33" s="227"/>
    </row>
    <row r="34" spans="1:5">
      <c r="B34" s="227"/>
      <c r="C34" s="227"/>
      <c r="D34" s="227"/>
    </row>
    <row r="35" spans="1:5" s="227" customFormat="1">
      <c r="A35" s="187"/>
      <c r="E35" s="919"/>
    </row>
    <row r="36" spans="1:5" s="227" customFormat="1">
      <c r="A36" s="187"/>
      <c r="E36" s="919"/>
    </row>
    <row r="37" spans="1:5" s="227" customFormat="1">
      <c r="A37" s="187"/>
      <c r="E37" s="919"/>
    </row>
    <row r="38" spans="1:5" s="227" customFormat="1">
      <c r="A38" s="187"/>
      <c r="E38" s="919"/>
    </row>
    <row r="39" spans="1:5" s="227" customFormat="1">
      <c r="A39" s="187"/>
      <c r="E39" s="919"/>
    </row>
    <row r="40" spans="1:5" s="227" customFormat="1">
      <c r="A40" s="187"/>
      <c r="E40" s="919"/>
    </row>
    <row r="41" spans="1:5" s="227" customFormat="1">
      <c r="A41" s="187"/>
      <c r="E41" s="9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2:H27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71" customWidth="1"/>
    <col min="2" max="3" width="20.5703125" style="582" hidden="1" customWidth="1"/>
    <col min="4" max="4" width="8.5703125" style="582" customWidth="1"/>
    <col min="5" max="5" width="41.140625" style="582" customWidth="1"/>
    <col min="6" max="6" width="18.5703125" style="582" customWidth="1"/>
    <col min="7" max="7" width="62.5703125" style="582" customWidth="1"/>
    <col min="8" max="8" width="5.140625" style="915" customWidth="1"/>
    <col min="9" max="9" width="24" style="582" customWidth="1"/>
    <col min="10" max="10" width="11" style="582" customWidth="1"/>
    <col min="11" max="11" width="7.140625" style="582" customWidth="1"/>
    <col min="12" max="12" width="9.140625" style="582" customWidth="1"/>
    <col min="13" max="13" width="14" style="582" customWidth="1"/>
    <col min="14" max="14" width="13.42578125" style="582" customWidth="1"/>
    <col min="15" max="16384" width="9.140625" style="582"/>
  </cols>
  <sheetData>
    <row r="2" spans="1:8">
      <c r="D2" s="1642" t="s">
        <v>17</v>
      </c>
      <c r="E2" s="1642"/>
      <c r="F2" s="1642"/>
      <c r="G2" s="1642"/>
    </row>
    <row r="3" spans="1:8">
      <c r="D3" s="1642" t="s">
        <v>104</v>
      </c>
      <c r="E3" s="1642"/>
      <c r="F3" s="1642"/>
      <c r="G3" s="1642"/>
    </row>
    <row r="4" spans="1:8">
      <c r="D4" s="1642" t="s">
        <v>103</v>
      </c>
      <c r="E4" s="1642"/>
      <c r="F4" s="1642"/>
      <c r="G4" s="1642"/>
    </row>
    <row r="5" spans="1:8">
      <c r="D5" s="1642" t="str">
        <f>"BASE PERIOD / TRUE UP PERIOD - 12/31/"&amp;Automation!$B$3&amp;" PER BOOK"</f>
        <v>BASE PERIOD / TRUE UP PERIOD - 12/31/2019 PER BOOK</v>
      </c>
      <c r="E5" s="1642"/>
      <c r="F5" s="1642"/>
      <c r="G5" s="1642"/>
    </row>
    <row r="6" spans="1:8">
      <c r="D6" s="1647" t="s">
        <v>2</v>
      </c>
      <c r="E6" s="1647"/>
      <c r="F6" s="1647"/>
      <c r="G6" s="1647"/>
    </row>
    <row r="7" spans="1:8">
      <c r="D7" s="172"/>
      <c r="E7" s="172"/>
      <c r="F7" s="172"/>
      <c r="G7" s="172"/>
    </row>
    <row r="8" spans="1:8">
      <c r="D8" s="1642" t="s">
        <v>95</v>
      </c>
      <c r="E8" s="1642"/>
      <c r="F8" s="1642"/>
      <c r="G8" s="1642"/>
    </row>
    <row r="9" spans="1:8">
      <c r="A9" s="405"/>
      <c r="B9" s="347"/>
      <c r="C9" s="347"/>
      <c r="H9" s="919"/>
    </row>
    <row r="10" spans="1:8">
      <c r="A10" s="405" t="s">
        <v>3</v>
      </c>
      <c r="B10" s="188"/>
      <c r="C10" s="188"/>
      <c r="D10" s="864"/>
      <c r="E10" s="864"/>
      <c r="F10" s="865"/>
      <c r="G10" s="866"/>
      <c r="H10" s="919" t="s">
        <v>3</v>
      </c>
    </row>
    <row r="11" spans="1:8">
      <c r="A11" s="405" t="s">
        <v>24</v>
      </c>
      <c r="B11" s="378" t="s">
        <v>413</v>
      </c>
      <c r="C11" s="246" t="s">
        <v>413</v>
      </c>
      <c r="D11" s="867" t="s">
        <v>22</v>
      </c>
      <c r="E11" s="867" t="s">
        <v>71</v>
      </c>
      <c r="F11" s="867" t="s">
        <v>123</v>
      </c>
      <c r="G11" s="901" t="s">
        <v>8</v>
      </c>
      <c r="H11" s="919" t="s">
        <v>24</v>
      </c>
    </row>
    <row r="12" spans="1:8">
      <c r="A12" s="266"/>
      <c r="B12" s="267"/>
      <c r="C12" s="267"/>
      <c r="D12" s="868"/>
      <c r="E12" s="868"/>
      <c r="F12" s="868"/>
      <c r="G12" s="869"/>
      <c r="H12" s="266"/>
    </row>
    <row r="13" spans="1:8">
      <c r="A13" s="405">
        <v>1</v>
      </c>
      <c r="B13" s="313" t="s">
        <v>268</v>
      </c>
      <c r="C13" s="897" t="str">
        <f>Automation!$B$3-1&amp;"12"</f>
        <v>201812</v>
      </c>
      <c r="D13" s="871" t="str">
        <f>"Dec-"&amp;RIGHT(Automation!$B$3-1,2)</f>
        <v>Dec-18</v>
      </c>
      <c r="E13" s="871" t="s">
        <v>554</v>
      </c>
      <c r="F13" s="890">
        <v>634023.74513000005</v>
      </c>
      <c r="G13" s="873" t="str">
        <f>Automation!B3-1&amp;" Form 1; Page 356.1; Accts 303 to 398"</f>
        <v>2018 Form 1; Page 356.1; Accts 303 to 398</v>
      </c>
      <c r="H13" s="919">
        <f>A13</f>
        <v>1</v>
      </c>
    </row>
    <row r="14" spans="1:8">
      <c r="A14" s="405">
        <f>A13+1</f>
        <v>2</v>
      </c>
      <c r="B14" s="229" t="s">
        <v>266</v>
      </c>
      <c r="C14" s="870"/>
      <c r="D14" s="871"/>
      <c r="E14" s="871" t="s">
        <v>555</v>
      </c>
      <c r="F14" s="875">
        <v>0.73509999999999998</v>
      </c>
      <c r="G14" s="909" t="str">
        <f>Automation!B3-1&amp;" Form 1; Page 356.1; Electric"</f>
        <v>2018 Form 1; Page 356.1; Electric</v>
      </c>
      <c r="H14" s="919">
        <f>H13+1</f>
        <v>2</v>
      </c>
    </row>
    <row r="15" spans="1:8">
      <c r="A15" s="405">
        <f t="shared" ref="A15:A23" si="0">A14+1</f>
        <v>3</v>
      </c>
      <c r="B15" s="313"/>
      <c r="C15" s="870"/>
      <c r="D15" s="871"/>
      <c r="E15" s="871" t="s">
        <v>266</v>
      </c>
      <c r="F15" s="891">
        <f>F13*F14</f>
        <v>466070.85504506301</v>
      </c>
      <c r="G15" s="270" t="str">
        <f>"Line "&amp;A13&amp;" x Line "&amp;A14</f>
        <v>Line 1 x Line 2</v>
      </c>
      <c r="H15" s="919">
        <f t="shared" ref="H15:H23" si="1">H14+1</f>
        <v>3</v>
      </c>
    </row>
    <row r="16" spans="1:8">
      <c r="A16" s="405">
        <f t="shared" si="0"/>
        <v>4</v>
      </c>
      <c r="C16" s="870"/>
      <c r="D16" s="871"/>
      <c r="E16" s="871"/>
      <c r="F16" s="891"/>
      <c r="G16" s="270"/>
      <c r="H16" s="919">
        <f t="shared" si="1"/>
        <v>4</v>
      </c>
    </row>
    <row r="17" spans="1:8">
      <c r="A17" s="405">
        <f t="shared" si="0"/>
        <v>5</v>
      </c>
      <c r="C17" s="870" t="str">
        <f>Automation!$B$3&amp;"12"</f>
        <v>201912</v>
      </c>
      <c r="D17" s="871" t="str">
        <f>"Dec-"&amp;RIGHT(Automation!$B$3,2)</f>
        <v>Dec-19</v>
      </c>
      <c r="E17" s="871" t="s">
        <v>554</v>
      </c>
      <c r="F17" s="890">
        <v>719060.10858999996</v>
      </c>
      <c r="G17" s="873" t="str">
        <f>Automation!B3&amp;" Form 1; Page 356.1; Accts 303 to 398"</f>
        <v>2019 Form 1; Page 356.1; Accts 303 to 398</v>
      </c>
      <c r="H17" s="919">
        <f t="shared" si="1"/>
        <v>5</v>
      </c>
    </row>
    <row r="18" spans="1:8">
      <c r="A18" s="405">
        <f t="shared" si="0"/>
        <v>6</v>
      </c>
      <c r="B18" s="188"/>
      <c r="C18" s="870"/>
      <c r="D18" s="871"/>
      <c r="E18" s="871" t="s">
        <v>555</v>
      </c>
      <c r="F18" s="875">
        <v>0.72219999999999995</v>
      </c>
      <c r="G18" s="909" t="str">
        <f>Automation!B3&amp;" Form 1; Page 356.1; Electric"</f>
        <v>2019 Form 1; Page 356.1; Electric</v>
      </c>
      <c r="H18" s="919">
        <f t="shared" si="1"/>
        <v>6</v>
      </c>
    </row>
    <row r="19" spans="1:8">
      <c r="A19" s="405">
        <f t="shared" si="0"/>
        <v>7</v>
      </c>
      <c r="B19" s="188"/>
      <c r="C19" s="870"/>
      <c r="D19" s="871"/>
      <c r="E19" s="871" t="s">
        <v>266</v>
      </c>
      <c r="F19" s="891">
        <f>F17*F18</f>
        <v>519305.21042369795</v>
      </c>
      <c r="G19" s="270" t="str">
        <f>"Line "&amp;A17&amp;" x Line "&amp;A18</f>
        <v>Line 5 x Line 6</v>
      </c>
      <c r="H19" s="919">
        <f t="shared" si="1"/>
        <v>7</v>
      </c>
    </row>
    <row r="20" spans="1:8">
      <c r="A20" s="405">
        <f t="shared" si="0"/>
        <v>8</v>
      </c>
      <c r="B20" s="188"/>
      <c r="C20" s="188"/>
      <c r="D20" s="876"/>
      <c r="E20" s="867"/>
      <c r="F20" s="892"/>
      <c r="G20" s="878"/>
      <c r="H20" s="919">
        <f t="shared" si="1"/>
        <v>8</v>
      </c>
    </row>
    <row r="21" spans="1:8">
      <c r="A21" s="405">
        <f t="shared" si="0"/>
        <v>9</v>
      </c>
      <c r="B21" s="188"/>
      <c r="C21" s="188"/>
      <c r="D21" s="879"/>
      <c r="E21" s="880"/>
      <c r="F21" s="883"/>
      <c r="G21" s="882"/>
      <c r="H21" s="919">
        <f t="shared" si="1"/>
        <v>9</v>
      </c>
    </row>
    <row r="22" spans="1:8">
      <c r="A22" s="405">
        <f t="shared" si="0"/>
        <v>10</v>
      </c>
      <c r="B22" s="188"/>
      <c r="C22" s="188"/>
      <c r="D22" s="883" t="s">
        <v>26</v>
      </c>
      <c r="E22" s="880"/>
      <c r="F22" s="375">
        <f>(F15+F19)/2</f>
        <v>492688.03273438045</v>
      </c>
      <c r="G22" s="884" t="str">
        <f>"Average of Line "&amp;A15&amp;" and Line "&amp;A19</f>
        <v>Average of Line 3 and Line 7</v>
      </c>
      <c r="H22" s="919">
        <f t="shared" si="1"/>
        <v>10</v>
      </c>
    </row>
    <row r="23" spans="1:8">
      <c r="A23" s="405">
        <f t="shared" si="0"/>
        <v>11</v>
      </c>
      <c r="B23" s="188"/>
      <c r="C23" s="188"/>
      <c r="D23" s="885"/>
      <c r="E23" s="886"/>
      <c r="F23" s="885"/>
      <c r="G23" s="888"/>
      <c r="H23" s="919">
        <f t="shared" si="1"/>
        <v>11</v>
      </c>
    </row>
    <row r="24" spans="1:8">
      <c r="A24" s="405"/>
      <c r="B24" s="347"/>
      <c r="C24" s="347"/>
      <c r="D24" s="287"/>
      <c r="E24" s="287"/>
      <c r="F24" s="347"/>
      <c r="G24" s="347"/>
    </row>
    <row r="25" spans="1:8">
      <c r="D25" s="347"/>
      <c r="E25" s="347"/>
      <c r="F25" s="347"/>
      <c r="G25" s="347"/>
    </row>
    <row r="26" spans="1:8">
      <c r="D26" s="347"/>
      <c r="E26" s="347"/>
      <c r="F26" s="347"/>
      <c r="G26" s="347"/>
    </row>
    <row r="27" spans="1:8">
      <c r="D27" s="347"/>
      <c r="E27" s="347"/>
      <c r="F27" s="347"/>
      <c r="G27" s="347"/>
    </row>
  </sheetData>
  <mergeCells count="6">
    <mergeCell ref="D8:G8"/>
    <mergeCell ref="D2:G2"/>
    <mergeCell ref="D3:G3"/>
    <mergeCell ref="D4:G4"/>
    <mergeCell ref="D5:G5"/>
    <mergeCell ref="D6:G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28"/>
  <sheetViews>
    <sheetView zoomScale="80" zoomScaleNormal="80" zoomScalePageLayoutView="80" workbookViewId="0">
      <selection activeCell="C7" sqref="C7"/>
    </sheetView>
  </sheetViews>
  <sheetFormatPr defaultColWidth="9.140625" defaultRowHeight="15.75"/>
  <cols>
    <col min="1" max="1" width="5.140625" style="587" customWidth="1"/>
    <col min="2" max="2" width="56" style="397" customWidth="1"/>
    <col min="3" max="3" width="24" style="397" customWidth="1"/>
    <col min="4" max="4" width="1.5703125" style="397" customWidth="1"/>
    <col min="5" max="5" width="16.85546875" style="397" customWidth="1"/>
    <col min="6" max="6" width="1.5703125" style="397" customWidth="1"/>
    <col min="7" max="7" width="16.85546875" style="397" customWidth="1"/>
    <col min="8" max="8" width="1.5703125" style="397" customWidth="1"/>
    <col min="9" max="9" width="17.85546875" style="397" bestFit="1" customWidth="1"/>
    <col min="10" max="10" width="1.5703125" style="397" customWidth="1"/>
    <col min="11" max="11" width="39.42578125" style="397" bestFit="1" customWidth="1"/>
    <col min="12" max="12" width="5.140625" style="397" customWidth="1"/>
    <col min="13" max="13" width="9.140625" style="397"/>
    <col min="14" max="14" width="20.42578125" style="397" bestFit="1" customWidth="1"/>
    <col min="15" max="16384" width="9.140625" style="397"/>
  </cols>
  <sheetData>
    <row r="1" spans="1:14">
      <c r="A1" s="583"/>
      <c r="H1" s="587"/>
      <c r="I1" s="587"/>
      <c r="J1" s="587"/>
      <c r="K1" s="587"/>
      <c r="L1" s="583"/>
    </row>
    <row r="2" spans="1:14">
      <c r="A2" s="583"/>
      <c r="B2" s="1650" t="s">
        <v>17</v>
      </c>
      <c r="C2" s="1650"/>
      <c r="D2" s="1650"/>
      <c r="E2" s="1650"/>
      <c r="F2" s="1650"/>
      <c r="G2" s="1650"/>
      <c r="H2" s="1635"/>
      <c r="I2" s="1635"/>
      <c r="J2" s="1635"/>
      <c r="K2" s="1635"/>
      <c r="L2" s="583"/>
    </row>
    <row r="3" spans="1:14">
      <c r="A3" s="583"/>
      <c r="B3" s="1650" t="s">
        <v>1025</v>
      </c>
      <c r="C3" s="1650"/>
      <c r="D3" s="1650"/>
      <c r="E3" s="1650"/>
      <c r="F3" s="1650"/>
      <c r="G3" s="1650"/>
      <c r="H3" s="1635"/>
      <c r="I3" s="1635"/>
      <c r="J3" s="1635"/>
      <c r="K3" s="1635"/>
      <c r="L3" s="583"/>
    </row>
    <row r="4" spans="1:14">
      <c r="A4" s="583"/>
      <c r="B4" s="1650" t="s">
        <v>113</v>
      </c>
      <c r="C4" s="1650"/>
      <c r="D4" s="1650"/>
      <c r="E4" s="1650"/>
      <c r="F4" s="1650"/>
      <c r="G4" s="1650"/>
      <c r="H4" s="1635"/>
      <c r="I4" s="1635"/>
      <c r="J4" s="1635"/>
      <c r="K4" s="1635"/>
      <c r="L4" s="583"/>
    </row>
    <row r="5" spans="1:14">
      <c r="A5" s="583"/>
      <c r="B5" s="1651" t="str">
        <f>'A. Sec.1 - Direct Maintenance'!B5</f>
        <v>Base Period &amp; True-Up Period 12 - Months Ending December 31, 2019</v>
      </c>
      <c r="C5" s="1651"/>
      <c r="D5" s="1651"/>
      <c r="E5" s="1651"/>
      <c r="F5" s="1651"/>
      <c r="G5" s="1651"/>
      <c r="H5" s="1651"/>
      <c r="I5" s="1651"/>
      <c r="J5" s="1651"/>
      <c r="K5" s="1651"/>
      <c r="L5" s="583"/>
    </row>
    <row r="6" spans="1:14">
      <c r="A6" s="583"/>
      <c r="B6" s="1652" t="s">
        <v>2</v>
      </c>
      <c r="C6" s="1653"/>
      <c r="D6" s="1653"/>
      <c r="E6" s="1653"/>
      <c r="F6" s="1653"/>
      <c r="G6" s="1653"/>
      <c r="H6" s="1653"/>
      <c r="I6" s="1653"/>
      <c r="J6" s="1653"/>
      <c r="K6" s="1653"/>
      <c r="L6" s="583"/>
    </row>
    <row r="7" spans="1:14">
      <c r="A7" s="583"/>
      <c r="B7" s="583"/>
      <c r="C7" s="583"/>
      <c r="D7" s="583"/>
      <c r="E7" s="583"/>
      <c r="F7" s="583"/>
      <c r="G7" s="583"/>
      <c r="H7" s="587"/>
      <c r="I7" s="587"/>
      <c r="J7" s="587"/>
      <c r="K7" s="587"/>
      <c r="L7" s="583"/>
    </row>
    <row r="8" spans="1:14">
      <c r="A8" s="583" t="s">
        <v>3</v>
      </c>
      <c r="B8" s="664"/>
      <c r="C8" s="583" t="s">
        <v>472</v>
      </c>
      <c r="D8" s="664"/>
      <c r="E8" s="689" t="s">
        <v>4</v>
      </c>
      <c r="F8" s="583"/>
      <c r="G8" s="689" t="s">
        <v>5</v>
      </c>
      <c r="H8" s="587"/>
      <c r="I8" s="689" t="s">
        <v>6</v>
      </c>
      <c r="J8" s="587"/>
      <c r="K8" s="587"/>
      <c r="L8" s="583" t="s">
        <v>3</v>
      </c>
    </row>
    <row r="9" spans="1:14">
      <c r="A9" s="690" t="s">
        <v>24</v>
      </c>
      <c r="C9" s="585" t="s">
        <v>473</v>
      </c>
      <c r="E9" s="691" t="str">
        <f>'Stmt AD'!E9</f>
        <v>31-Dec-18</v>
      </c>
      <c r="F9" s="600"/>
      <c r="G9" s="691" t="str">
        <f>'Stmt AD'!G9</f>
        <v>31-Dec-19</v>
      </c>
      <c r="H9" s="664"/>
      <c r="I9" s="666" t="s">
        <v>7</v>
      </c>
      <c r="J9" s="664"/>
      <c r="K9" s="486" t="s">
        <v>8</v>
      </c>
      <c r="L9" s="690" t="s">
        <v>24</v>
      </c>
    </row>
    <row r="10" spans="1:14">
      <c r="A10" s="690"/>
      <c r="H10" s="587"/>
      <c r="I10" s="583"/>
      <c r="J10" s="587"/>
      <c r="K10" s="587"/>
      <c r="L10" s="690"/>
    </row>
    <row r="11" spans="1:14">
      <c r="A11" s="690">
        <v>1</v>
      </c>
      <c r="B11" s="397" t="s">
        <v>630</v>
      </c>
      <c r="E11" s="588">
        <f>'AF-1'!I16+'AF-1'!I32</f>
        <v>235502.73007505928</v>
      </c>
      <c r="F11" s="637"/>
      <c r="G11" s="588">
        <f>'AF-2'!I16+'AF-2'!I32</f>
        <v>229259.12075949862</v>
      </c>
      <c r="H11" s="587"/>
      <c r="I11" s="637">
        <f>(E11+G11)/2</f>
        <v>232380.92541727895</v>
      </c>
      <c r="J11" s="587"/>
      <c r="K11" s="587" t="str">
        <f>"AF-1 and AF-2; Line "&amp;'AF-1'!A16&amp;" + Line "&amp;'AF-1'!A32&amp;"; Col. d"</f>
        <v>AF-1 and AF-2; Line 5 + Line 21; Col. d</v>
      </c>
      <c r="L11" s="690">
        <f>A11</f>
        <v>1</v>
      </c>
    </row>
    <row r="12" spans="1:14">
      <c r="A12" s="690">
        <f>A11+1</f>
        <v>2</v>
      </c>
      <c r="H12" s="587"/>
      <c r="I12" s="583"/>
      <c r="J12" s="587"/>
      <c r="K12" s="587"/>
      <c r="L12" s="690">
        <f>L11+1</f>
        <v>2</v>
      </c>
    </row>
    <row r="13" spans="1:14" s="692" customFormat="1">
      <c r="A13" s="690">
        <f t="shared" ref="A13:A23" si="0">A12+1</f>
        <v>3</v>
      </c>
      <c r="B13" s="397" t="s">
        <v>678</v>
      </c>
      <c r="C13" s="397"/>
      <c r="D13" s="397"/>
      <c r="E13" s="957">
        <f>'AF-1'!I21+'AF-1'!I37</f>
        <v>-1046922.3744822021</v>
      </c>
      <c r="F13" s="397"/>
      <c r="G13" s="957">
        <f>'AF-2'!I21+'AF-2'!I37</f>
        <v>-1104048.2764413659</v>
      </c>
      <c r="H13" s="587"/>
      <c r="I13" s="958">
        <f>(E13+G13)/2</f>
        <v>-1075485.3254617839</v>
      </c>
      <c r="J13" s="587"/>
      <c r="K13" s="587" t="str">
        <f>"AF-1 and AF-2; Line "&amp;'AF-1'!A21&amp;" + Line "&amp;'AF-1'!A37&amp;"; Col. d"</f>
        <v>AF-1 and AF-2; Line 10 + Line 26; Col. d</v>
      </c>
      <c r="L13" s="690">
        <f t="shared" ref="L13:L23" si="1">L12+1</f>
        <v>3</v>
      </c>
      <c r="M13" s="397"/>
    </row>
    <row r="14" spans="1:14" s="692" customFormat="1">
      <c r="A14" s="690">
        <f t="shared" si="0"/>
        <v>4</v>
      </c>
      <c r="B14" s="397"/>
      <c r="C14" s="397"/>
      <c r="D14" s="397"/>
      <c r="E14" s="397"/>
      <c r="F14" s="397"/>
      <c r="G14" s="397"/>
      <c r="H14" s="587"/>
      <c r="I14" s="583"/>
      <c r="J14" s="587"/>
      <c r="K14" s="5"/>
      <c r="L14" s="690">
        <f t="shared" si="1"/>
        <v>4</v>
      </c>
    </row>
    <row r="15" spans="1:14" s="692" customFormat="1">
      <c r="A15" s="690">
        <f t="shared" si="0"/>
        <v>5</v>
      </c>
      <c r="B15" s="397" t="s">
        <v>631</v>
      </c>
      <c r="C15" s="397"/>
      <c r="D15" s="397"/>
      <c r="E15" s="1546">
        <f>'AF-1'!I26+'AF-1'!I42</f>
        <v>-5328</v>
      </c>
      <c r="F15" s="1544"/>
      <c r="G15" s="1546">
        <f>'AF-2'!I26+'AF-2'!I42</f>
        <v>-5987.5143200000075</v>
      </c>
      <c r="H15" s="587"/>
      <c r="I15" s="693">
        <f>(E15+G15)/2</f>
        <v>-5657.7571600000038</v>
      </c>
      <c r="J15" s="587"/>
      <c r="K15" s="587" t="str">
        <f>"AF-1 and AF-2; Line "&amp;'AF-1'!A26&amp;" + Line "&amp;'AF-1'!A42&amp;"; Col. d"</f>
        <v>AF-1 and AF-2; Line 15 + Line 31; Col. d</v>
      </c>
      <c r="L15" s="690">
        <f t="shared" si="1"/>
        <v>5</v>
      </c>
      <c r="M15" s="397"/>
      <c r="N15" s="397"/>
    </row>
    <row r="16" spans="1:14">
      <c r="A16" s="690">
        <f t="shared" si="0"/>
        <v>6</v>
      </c>
      <c r="B16" s="6"/>
      <c r="E16" s="637"/>
      <c r="F16" s="637"/>
      <c r="G16" s="637"/>
      <c r="I16" s="637"/>
      <c r="J16" s="587"/>
      <c r="K16" s="5"/>
      <c r="L16" s="690">
        <f t="shared" si="1"/>
        <v>6</v>
      </c>
    </row>
    <row r="17" spans="1:12" ht="19.5" thickBot="1">
      <c r="A17" s="690">
        <f t="shared" si="0"/>
        <v>7</v>
      </c>
      <c r="B17" s="6" t="s">
        <v>677</v>
      </c>
      <c r="C17" s="587"/>
      <c r="E17" s="695">
        <f>SUM(E11:E15)</f>
        <v>-816747.64440714289</v>
      </c>
      <c r="F17" s="696"/>
      <c r="G17" s="695">
        <f>SUM(G11:G15)</f>
        <v>-880776.67000186734</v>
      </c>
      <c r="H17" s="696"/>
      <c r="I17" s="695">
        <f>SUM(I11:I15)</f>
        <v>-848762.15720450506</v>
      </c>
      <c r="J17" s="587"/>
      <c r="K17" s="7" t="str">
        <f>"Sum Lines "&amp;A11&amp;" thru "&amp;A15</f>
        <v>Sum Lines 1 thru 5</v>
      </c>
      <c r="L17" s="690">
        <f t="shared" si="1"/>
        <v>7</v>
      </c>
    </row>
    <row r="18" spans="1:12" ht="16.5" thickTop="1">
      <c r="A18" s="690">
        <f t="shared" si="0"/>
        <v>8</v>
      </c>
      <c r="J18" s="587"/>
      <c r="K18" s="5"/>
      <c r="L18" s="690">
        <f t="shared" si="1"/>
        <v>8</v>
      </c>
    </row>
    <row r="19" spans="1:12" s="1461" customFormat="1" ht="16.5" thickBot="1">
      <c r="A19" s="690">
        <f t="shared" si="0"/>
        <v>9</v>
      </c>
      <c r="B19" s="6" t="s">
        <v>889</v>
      </c>
      <c r="E19" s="1523">
        <v>0</v>
      </c>
      <c r="G19" s="1523">
        <v>0</v>
      </c>
      <c r="I19" s="1486">
        <f>(E19+G19)/2</f>
        <v>0</v>
      </c>
      <c r="J19" s="587"/>
      <c r="K19" s="587" t="s">
        <v>125</v>
      </c>
      <c r="L19" s="690">
        <f t="shared" si="1"/>
        <v>9</v>
      </c>
    </row>
    <row r="20" spans="1:12" s="1461" customFormat="1" ht="16.5" thickTop="1">
      <c r="A20" s="690">
        <f t="shared" si="0"/>
        <v>10</v>
      </c>
      <c r="B20" s="4"/>
      <c r="I20" s="1456"/>
      <c r="J20" s="587"/>
      <c r="K20" s="5"/>
      <c r="L20" s="690">
        <f t="shared" si="1"/>
        <v>10</v>
      </c>
    </row>
    <row r="21" spans="1:12" ht="16.5" thickBot="1">
      <c r="A21" s="690">
        <f t="shared" si="0"/>
        <v>11</v>
      </c>
      <c r="B21" s="6" t="s">
        <v>114</v>
      </c>
      <c r="E21" s="697">
        <f>'AF-1'!I45</f>
        <v>0</v>
      </c>
      <c r="F21" s="698"/>
      <c r="G21" s="697">
        <f>'AF-2'!I45</f>
        <v>0</v>
      </c>
      <c r="H21" s="699"/>
      <c r="I21" s="1486">
        <f>(E21+G21)/2</f>
        <v>0</v>
      </c>
      <c r="K21" s="587" t="str">
        <f>"AF-1 and AF-2; Line "&amp;'AF-1'!A45&amp;"; Col. d"</f>
        <v>AF-1 and AF-2; Line 34; Col. d</v>
      </c>
      <c r="L21" s="690">
        <f t="shared" si="1"/>
        <v>11</v>
      </c>
    </row>
    <row r="22" spans="1:12" s="1461" customFormat="1" ht="16.5" thickTop="1">
      <c r="A22" s="690">
        <f t="shared" si="0"/>
        <v>12</v>
      </c>
      <c r="B22" s="4"/>
      <c r="E22" s="996"/>
      <c r="F22" s="1485"/>
      <c r="G22" s="996"/>
      <c r="H22" s="699"/>
      <c r="I22" s="1456"/>
      <c r="K22" s="5"/>
      <c r="L22" s="690">
        <f t="shared" si="1"/>
        <v>12</v>
      </c>
    </row>
    <row r="23" spans="1:12" s="1461" customFormat="1" ht="16.5" thickBot="1">
      <c r="A23" s="690">
        <f t="shared" si="0"/>
        <v>13</v>
      </c>
      <c r="B23" s="6" t="s">
        <v>890</v>
      </c>
      <c r="E23" s="1523">
        <v>0</v>
      </c>
      <c r="F23" s="698"/>
      <c r="G23" s="1523">
        <v>0</v>
      </c>
      <c r="H23" s="699"/>
      <c r="I23" s="1486">
        <f>(E23+G23)/2</f>
        <v>0</v>
      </c>
      <c r="K23" s="587" t="s">
        <v>125</v>
      </c>
      <c r="L23" s="690">
        <f t="shared" si="1"/>
        <v>13</v>
      </c>
    </row>
    <row r="24" spans="1:12" ht="16.5" thickTop="1">
      <c r="L24" s="690"/>
    </row>
    <row r="26" spans="1:12" ht="18.75">
      <c r="A26" s="633">
        <v>1</v>
      </c>
      <c r="B26" s="6" t="s">
        <v>569</v>
      </c>
    </row>
    <row r="27" spans="1:12" ht="18.75">
      <c r="A27" s="633">
        <v>2</v>
      </c>
      <c r="B27" s="1461" t="s">
        <v>660</v>
      </c>
    </row>
    <row r="28" spans="1:12">
      <c r="A28" s="397"/>
      <c r="B28" s="701" t="s">
        <v>661</v>
      </c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0" orientation="portrait" r:id="rId1"/>
  <headerFooter scaleWithDoc="0">
    <oddFooter>&amp;C&amp;"Times New Roman,Regular"&amp;10AF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A820B-7572-44BC-8D6D-40C5971BE1DD}">
  <sheetPr>
    <pageSetUpPr fitToPage="1"/>
  </sheetPr>
  <dimension ref="A2:K48"/>
  <sheetViews>
    <sheetView topLeftCell="A7" zoomScale="80" zoomScaleNormal="80" zoomScaleSheetLayoutView="70" workbookViewId="0">
      <selection activeCell="C7" sqref="C7"/>
    </sheetView>
  </sheetViews>
  <sheetFormatPr defaultColWidth="8.85546875" defaultRowHeight="15.75"/>
  <cols>
    <col min="1" max="1" width="5.85546875" style="587" customWidth="1"/>
    <col min="2" max="2" width="62.85546875" style="1461" bestFit="1" customWidth="1"/>
    <col min="3" max="3" width="16.85546875" style="1461" customWidth="1"/>
    <col min="4" max="4" width="1.5703125" style="1461" customWidth="1"/>
    <col min="5" max="5" width="16.85546875" style="1461" customWidth="1"/>
    <col min="6" max="6" width="1.5703125" style="1461" customWidth="1"/>
    <col min="7" max="7" width="16.85546875" style="1461" customWidth="1"/>
    <col min="8" max="8" width="1.5703125" style="1461" customWidth="1"/>
    <col min="9" max="9" width="23.42578125" style="1461" bestFit="1" customWidth="1"/>
    <col min="10" max="10" width="62.5703125" style="1461" customWidth="1"/>
    <col min="11" max="11" width="5.140625" style="587" customWidth="1"/>
    <col min="12" max="16384" width="8.85546875" style="1461"/>
  </cols>
  <sheetData>
    <row r="2" spans="1:11">
      <c r="B2" s="1635" t="s">
        <v>17</v>
      </c>
      <c r="C2" s="1635"/>
      <c r="D2" s="1635"/>
      <c r="E2" s="1635"/>
      <c r="F2" s="1635"/>
      <c r="G2" s="1635"/>
      <c r="H2" s="1635"/>
      <c r="I2" s="1635"/>
      <c r="J2" s="1635"/>
    </row>
    <row r="3" spans="1:11">
      <c r="B3" s="1635" t="s">
        <v>891</v>
      </c>
      <c r="C3" s="1635"/>
      <c r="D3" s="1635"/>
      <c r="E3" s="1635"/>
      <c r="F3" s="1635"/>
      <c r="G3" s="1635"/>
      <c r="H3" s="1635"/>
      <c r="I3" s="1635"/>
      <c r="J3" s="1635"/>
    </row>
    <row r="4" spans="1:11">
      <c r="B4" s="1635" t="s">
        <v>892</v>
      </c>
      <c r="C4" s="1635"/>
      <c r="D4" s="1635"/>
      <c r="E4" s="1635"/>
      <c r="F4" s="1635"/>
      <c r="G4" s="1635"/>
      <c r="H4" s="1635"/>
      <c r="I4" s="1635"/>
      <c r="J4" s="1635"/>
    </row>
    <row r="5" spans="1:11">
      <c r="B5" s="1635" t="str">
        <f>"Base Period 12 Months Ending December 31, "&amp;Automation!$B$3-1</f>
        <v>Base Period 12 Months Ending December 31, 2018</v>
      </c>
      <c r="C5" s="1635"/>
      <c r="D5" s="1635"/>
      <c r="E5" s="1635"/>
      <c r="F5" s="1635"/>
      <c r="G5" s="1635"/>
      <c r="H5" s="1635"/>
      <c r="I5" s="1635"/>
      <c r="J5" s="1635"/>
    </row>
    <row r="6" spans="1:11" ht="15.6" customHeight="1">
      <c r="B6" s="1652" t="s">
        <v>2</v>
      </c>
      <c r="C6" s="1652"/>
      <c r="D6" s="1652"/>
      <c r="E6" s="1652"/>
      <c r="F6" s="1652"/>
      <c r="G6" s="1652"/>
      <c r="H6" s="1652"/>
      <c r="I6" s="1652"/>
      <c r="J6" s="1652"/>
    </row>
    <row r="8" spans="1:11">
      <c r="B8" s="1456"/>
      <c r="C8" s="1455" t="s">
        <v>4</v>
      </c>
      <c r="D8" s="1455"/>
      <c r="E8" s="1455" t="s">
        <v>5</v>
      </c>
      <c r="F8" s="1455"/>
      <c r="G8" s="1455" t="s">
        <v>223</v>
      </c>
      <c r="H8" s="1455"/>
      <c r="I8" s="1410" t="s">
        <v>893</v>
      </c>
      <c r="J8" s="1455"/>
    </row>
    <row r="9" spans="1:11">
      <c r="A9" s="587" t="s">
        <v>3</v>
      </c>
      <c r="B9" s="1456"/>
      <c r="C9" s="1455" t="s">
        <v>894</v>
      </c>
      <c r="D9" s="1455"/>
      <c r="E9" s="1455" t="s">
        <v>837</v>
      </c>
      <c r="F9" s="1455"/>
      <c r="G9" s="1455" t="s">
        <v>837</v>
      </c>
      <c r="H9" s="1455"/>
      <c r="I9" s="1455"/>
      <c r="J9" s="1455"/>
      <c r="K9" s="587" t="s">
        <v>3</v>
      </c>
    </row>
    <row r="10" spans="1:11">
      <c r="A10" s="445" t="s">
        <v>24</v>
      </c>
      <c r="B10" s="1412" t="s">
        <v>71</v>
      </c>
      <c r="C10" s="1413" t="s">
        <v>895</v>
      </c>
      <c r="D10" s="1413"/>
      <c r="E10" s="1413" t="s">
        <v>838</v>
      </c>
      <c r="F10" s="1413"/>
      <c r="G10" s="1413" t="s">
        <v>839</v>
      </c>
      <c r="H10" s="1413"/>
      <c r="I10" s="1412" t="s">
        <v>30</v>
      </c>
      <c r="J10" s="1412" t="s">
        <v>8</v>
      </c>
      <c r="K10" s="445" t="s">
        <v>24</v>
      </c>
    </row>
    <row r="11" spans="1:11">
      <c r="A11" s="445"/>
      <c r="B11" s="433"/>
      <c r="C11" s="1414"/>
      <c r="D11" s="1414"/>
      <c r="E11" s="1414"/>
      <c r="F11" s="1414"/>
      <c r="G11" s="1414"/>
      <c r="H11" s="1414"/>
      <c r="I11" s="793"/>
      <c r="J11" s="793"/>
      <c r="K11" s="445"/>
    </row>
    <row r="12" spans="1:11">
      <c r="A12" s="587">
        <v>1</v>
      </c>
      <c r="B12" s="701" t="s">
        <v>899</v>
      </c>
      <c r="C12" s="1415"/>
      <c r="D12" s="1415"/>
      <c r="E12" s="1415"/>
      <c r="F12" s="1415"/>
      <c r="G12" s="1415"/>
      <c r="H12" s="1415"/>
      <c r="I12" s="791"/>
      <c r="J12" s="791"/>
      <c r="K12" s="587">
        <f>A12</f>
        <v>1</v>
      </c>
    </row>
    <row r="13" spans="1:11">
      <c r="A13" s="587">
        <f>A12+1</f>
        <v>2</v>
      </c>
      <c r="B13" s="701" t="s">
        <v>840</v>
      </c>
      <c r="C13" s="780">
        <v>631.91250971232</v>
      </c>
      <c r="D13" s="780"/>
      <c r="E13" s="780">
        <v>0</v>
      </c>
      <c r="F13" s="780"/>
      <c r="G13" s="780">
        <v>214.49058265600002</v>
      </c>
      <c r="H13" s="1416"/>
      <c r="I13" s="637">
        <f>SUM(C13:G13)</f>
        <v>846.40309236832002</v>
      </c>
      <c r="J13" s="676" t="s">
        <v>970</v>
      </c>
      <c r="K13" s="587">
        <f>K12+1</f>
        <v>2</v>
      </c>
    </row>
    <row r="14" spans="1:11">
      <c r="A14" s="587">
        <f t="shared" ref="A14:A45" si="0">A13+1</f>
        <v>3</v>
      </c>
      <c r="B14" s="701" t="s">
        <v>841</v>
      </c>
      <c r="C14" s="812">
        <v>739.94715719423994</v>
      </c>
      <c r="D14" s="812"/>
      <c r="E14" s="812">
        <v>0</v>
      </c>
      <c r="F14" s="812"/>
      <c r="G14" s="812">
        <v>555.45000000000005</v>
      </c>
      <c r="H14" s="812"/>
      <c r="I14" s="290">
        <f>SUM(C14:G14)</f>
        <v>1295.39715719424</v>
      </c>
      <c r="J14" s="676" t="s">
        <v>970</v>
      </c>
      <c r="K14" s="587">
        <f t="shared" ref="K14:K45" si="1">K13+1</f>
        <v>3</v>
      </c>
    </row>
    <row r="15" spans="1:11">
      <c r="A15" s="587">
        <f t="shared" si="0"/>
        <v>4</v>
      </c>
      <c r="B15" s="701" t="s">
        <v>842</v>
      </c>
      <c r="C15" s="812">
        <v>123893.72626449184</v>
      </c>
      <c r="D15" s="812"/>
      <c r="E15" s="812">
        <v>109467.20356100488</v>
      </c>
      <c r="F15" s="812"/>
      <c r="G15" s="812">
        <v>0</v>
      </c>
      <c r="H15" s="812"/>
      <c r="I15" s="290">
        <f>SUM(C15:G15)</f>
        <v>233360.92982549671</v>
      </c>
      <c r="J15" s="676" t="s">
        <v>970</v>
      </c>
      <c r="K15" s="587">
        <f t="shared" si="1"/>
        <v>4</v>
      </c>
    </row>
    <row r="16" spans="1:11" ht="16.5" thickBot="1">
      <c r="A16" s="587">
        <f t="shared" si="0"/>
        <v>5</v>
      </c>
      <c r="B16" s="1121" t="s">
        <v>675</v>
      </c>
      <c r="C16" s="1417">
        <f>SUM(C13:C15)</f>
        <v>125265.5859313984</v>
      </c>
      <c r="D16" s="290"/>
      <c r="E16" s="1417">
        <f>SUM(E13:E15)</f>
        <v>109467.20356100488</v>
      </c>
      <c r="F16" s="543"/>
      <c r="G16" s="1417">
        <f>SUM(G13:G15)</f>
        <v>769.94058265600006</v>
      </c>
      <c r="H16" s="290"/>
      <c r="I16" s="1417">
        <f>SUM(I13:I15)</f>
        <v>235502.73007505928</v>
      </c>
      <c r="J16" s="1418" t="str">
        <f>"Sum Lines "&amp;A13&amp;" thru "&amp;A15</f>
        <v>Sum Lines 2 thru 4</v>
      </c>
      <c r="K16" s="587">
        <f t="shared" si="1"/>
        <v>5</v>
      </c>
    </row>
    <row r="17" spans="1:11" ht="16.5" thickTop="1">
      <c r="A17" s="587">
        <f t="shared" si="0"/>
        <v>6</v>
      </c>
      <c r="C17" s="1419"/>
      <c r="D17" s="1419"/>
      <c r="E17" s="1419"/>
      <c r="F17" s="1419"/>
      <c r="G17" s="1419"/>
      <c r="H17" s="1419"/>
      <c r="I17" s="1419"/>
      <c r="J17" s="1419"/>
      <c r="K17" s="587">
        <f t="shared" si="1"/>
        <v>6</v>
      </c>
    </row>
    <row r="18" spans="1:11">
      <c r="A18" s="587">
        <f t="shared" si="0"/>
        <v>7</v>
      </c>
      <c r="B18" s="701" t="s">
        <v>897</v>
      </c>
      <c r="C18" s="1415"/>
      <c r="D18" s="1415"/>
      <c r="E18" s="1415"/>
      <c r="F18" s="1415"/>
      <c r="G18" s="1415"/>
      <c r="H18" s="1415"/>
      <c r="I18" s="791"/>
      <c r="J18" s="791"/>
      <c r="K18" s="587">
        <f t="shared" si="1"/>
        <v>7</v>
      </c>
    </row>
    <row r="19" spans="1:11">
      <c r="A19" s="587">
        <f t="shared" si="0"/>
        <v>8</v>
      </c>
      <c r="B19" s="1420" t="s">
        <v>843</v>
      </c>
      <c r="C19" s="637">
        <v>-661424.76326366549</v>
      </c>
      <c r="D19" s="637"/>
      <c r="E19" s="637">
        <v>-375541.70898784063</v>
      </c>
      <c r="F19" s="637"/>
      <c r="G19" s="637">
        <v>-9955.9022306960978</v>
      </c>
      <c r="H19" s="637"/>
      <c r="I19" s="637">
        <f>SUM(C19:G19)</f>
        <v>-1046922.3744822021</v>
      </c>
      <c r="J19" s="676" t="s">
        <v>971</v>
      </c>
      <c r="K19" s="587">
        <f t="shared" si="1"/>
        <v>8</v>
      </c>
    </row>
    <row r="20" spans="1:11">
      <c r="A20" s="587">
        <f t="shared" si="0"/>
        <v>9</v>
      </c>
      <c r="C20" s="290">
        <v>0</v>
      </c>
      <c r="D20" s="290"/>
      <c r="E20" s="290">
        <v>0</v>
      </c>
      <c r="F20" s="290"/>
      <c r="G20" s="290">
        <v>0</v>
      </c>
      <c r="H20" s="290"/>
      <c r="I20" s="290">
        <f>SUM(C20:G20)</f>
        <v>0</v>
      </c>
      <c r="J20" s="290"/>
      <c r="K20" s="587">
        <f t="shared" si="1"/>
        <v>9</v>
      </c>
    </row>
    <row r="21" spans="1:11" ht="16.5" thickBot="1">
      <c r="A21" s="587">
        <f t="shared" si="0"/>
        <v>10</v>
      </c>
      <c r="B21" s="1121" t="s">
        <v>676</v>
      </c>
      <c r="C21" s="1417">
        <f>SUM(C19:C20)</f>
        <v>-661424.76326366549</v>
      </c>
      <c r="D21" s="290"/>
      <c r="E21" s="1417">
        <f>SUM(E19:E20)</f>
        <v>-375541.70898784063</v>
      </c>
      <c r="F21" s="543"/>
      <c r="G21" s="1417">
        <f>SUM(G19:G20)</f>
        <v>-9955.9022306960978</v>
      </c>
      <c r="H21" s="290"/>
      <c r="I21" s="1417">
        <f>SUM(I19:I20)</f>
        <v>-1046922.3744822021</v>
      </c>
      <c r="J21" s="1418" t="str">
        <f>"Sum Lines "&amp;A19&amp;" thru "&amp;A20</f>
        <v>Sum Lines 8 thru 9</v>
      </c>
      <c r="K21" s="587">
        <f t="shared" si="1"/>
        <v>10</v>
      </c>
    </row>
    <row r="22" spans="1:11" ht="16.5" thickTop="1">
      <c r="A22" s="587">
        <f t="shared" si="0"/>
        <v>11</v>
      </c>
      <c r="K22" s="587">
        <f t="shared" si="1"/>
        <v>11</v>
      </c>
    </row>
    <row r="23" spans="1:11">
      <c r="A23" s="587">
        <f t="shared" si="0"/>
        <v>12</v>
      </c>
      <c r="B23" s="701" t="s">
        <v>896</v>
      </c>
      <c r="C23" s="1415"/>
      <c r="D23" s="1415"/>
      <c r="E23" s="1415"/>
      <c r="F23" s="1415"/>
      <c r="G23" s="1415"/>
      <c r="H23" s="1415"/>
      <c r="I23" s="791"/>
      <c r="J23" s="587"/>
      <c r="K23" s="587">
        <f t="shared" si="1"/>
        <v>12</v>
      </c>
    </row>
    <row r="24" spans="1:11">
      <c r="A24" s="587">
        <f t="shared" si="0"/>
        <v>13</v>
      </c>
      <c r="B24" s="701" t="s">
        <v>845</v>
      </c>
      <c r="C24" s="780">
        <v>-5328</v>
      </c>
      <c r="D24" s="780"/>
      <c r="E24" s="780">
        <v>0</v>
      </c>
      <c r="F24" s="780"/>
      <c r="G24" s="780">
        <v>0</v>
      </c>
      <c r="H24" s="1416"/>
      <c r="I24" s="637">
        <f>SUM(C24:G24)</f>
        <v>-5328</v>
      </c>
      <c r="J24" s="676" t="s">
        <v>972</v>
      </c>
      <c r="K24" s="587">
        <f t="shared" si="1"/>
        <v>13</v>
      </c>
    </row>
    <row r="25" spans="1:11">
      <c r="A25" s="587">
        <f t="shared" si="0"/>
        <v>14</v>
      </c>
      <c r="B25" s="701"/>
      <c r="C25" s="290">
        <v>0</v>
      </c>
      <c r="D25" s="290"/>
      <c r="E25" s="290">
        <v>0</v>
      </c>
      <c r="F25" s="290"/>
      <c r="G25" s="290">
        <v>0</v>
      </c>
      <c r="H25" s="290"/>
      <c r="I25" s="290">
        <f>SUM(C25:G25)</f>
        <v>0</v>
      </c>
      <c r="J25" s="290"/>
      <c r="K25" s="587">
        <f t="shared" si="1"/>
        <v>14</v>
      </c>
    </row>
    <row r="26" spans="1:11" ht="16.5" thickBot="1">
      <c r="A26" s="587">
        <f t="shared" si="0"/>
        <v>15</v>
      </c>
      <c r="B26" s="1121" t="s">
        <v>846</v>
      </c>
      <c r="C26" s="1417">
        <f>SUM(C24:C25)</f>
        <v>-5328</v>
      </c>
      <c r="D26" s="290"/>
      <c r="E26" s="1417">
        <f>SUM(E24:E25)</f>
        <v>0</v>
      </c>
      <c r="F26" s="543"/>
      <c r="G26" s="1417">
        <f>SUM(G24:G25)</f>
        <v>0</v>
      </c>
      <c r="H26" s="290"/>
      <c r="I26" s="1417">
        <f>SUM(I24:I25)</f>
        <v>-5328</v>
      </c>
      <c r="J26" s="1418" t="str">
        <f>"Sum Lines "&amp;A24&amp;" thru "&amp;A25</f>
        <v>Sum Lines 13 thru 14</v>
      </c>
      <c r="K26" s="587">
        <f t="shared" si="1"/>
        <v>15</v>
      </c>
    </row>
    <row r="27" spans="1:11" ht="17.25" thickTop="1" thickBot="1">
      <c r="A27" s="587">
        <f t="shared" si="0"/>
        <v>16</v>
      </c>
      <c r="B27" s="474"/>
      <c r="C27" s="474"/>
      <c r="D27" s="474"/>
      <c r="E27" s="474"/>
      <c r="F27" s="474"/>
      <c r="G27" s="474"/>
      <c r="H27" s="474"/>
      <c r="I27" s="474"/>
      <c r="J27" s="474"/>
      <c r="K27" s="587">
        <f t="shared" si="1"/>
        <v>16</v>
      </c>
    </row>
    <row r="28" spans="1:11">
      <c r="A28" s="587">
        <f t="shared" si="0"/>
        <v>17</v>
      </c>
      <c r="K28" s="587">
        <f t="shared" si="1"/>
        <v>17</v>
      </c>
    </row>
    <row r="29" spans="1:11">
      <c r="A29" s="587">
        <f t="shared" si="0"/>
        <v>18</v>
      </c>
      <c r="B29" s="701" t="s">
        <v>898</v>
      </c>
      <c r="C29" s="1415"/>
      <c r="D29" s="1415"/>
      <c r="E29" s="1415"/>
      <c r="F29" s="1415"/>
      <c r="G29" s="1415"/>
      <c r="H29" s="1415"/>
      <c r="I29" s="791"/>
      <c r="J29" s="791"/>
      <c r="K29" s="587">
        <f t="shared" si="1"/>
        <v>18</v>
      </c>
    </row>
    <row r="30" spans="1:11">
      <c r="A30" s="587">
        <f t="shared" si="0"/>
        <v>19</v>
      </c>
      <c r="B30" s="701" t="s">
        <v>842</v>
      </c>
      <c r="C30" s="780">
        <v>0</v>
      </c>
      <c r="D30" s="780"/>
      <c r="E30" s="780">
        <v>0</v>
      </c>
      <c r="F30" s="780"/>
      <c r="G30" s="780">
        <v>0</v>
      </c>
      <c r="H30" s="780"/>
      <c r="I30" s="637">
        <f>SUM(C30:G30)</f>
        <v>0</v>
      </c>
      <c r="J30" s="101" t="str">
        <f>"Not Applicable to "&amp;Automation!$B$3&amp;" Base Period"</f>
        <v>Not Applicable to 2019 Base Period</v>
      </c>
      <c r="K30" s="587">
        <f t="shared" si="1"/>
        <v>19</v>
      </c>
    </row>
    <row r="31" spans="1:11">
      <c r="A31" s="587">
        <f t="shared" si="0"/>
        <v>20</v>
      </c>
      <c r="C31" s="290">
        <v>0</v>
      </c>
      <c r="D31" s="290"/>
      <c r="E31" s="290">
        <v>0</v>
      </c>
      <c r="F31" s="290"/>
      <c r="G31" s="290">
        <v>0</v>
      </c>
      <c r="H31" s="290"/>
      <c r="I31" s="290">
        <f>SUM(C31:G31)</f>
        <v>0</v>
      </c>
      <c r="J31" s="290"/>
      <c r="K31" s="587">
        <f t="shared" si="1"/>
        <v>20</v>
      </c>
    </row>
    <row r="32" spans="1:11" ht="16.5" thickBot="1">
      <c r="A32" s="587">
        <f t="shared" si="0"/>
        <v>21</v>
      </c>
      <c r="B32" s="1121" t="s">
        <v>675</v>
      </c>
      <c r="C32" s="1417">
        <f>SUM(C30:C31)</f>
        <v>0</v>
      </c>
      <c r="D32" s="290"/>
      <c r="E32" s="1417">
        <f>SUM(E30:E31)</f>
        <v>0</v>
      </c>
      <c r="F32" s="543"/>
      <c r="G32" s="1417">
        <f>SUM(G30:G31)</f>
        <v>0</v>
      </c>
      <c r="H32" s="290"/>
      <c r="I32" s="1417">
        <f>SUM(I30:I31)</f>
        <v>0</v>
      </c>
      <c r="J32" s="1418" t="str">
        <f>"Sum Lines "&amp;A30&amp;" thru "&amp;A31</f>
        <v>Sum Lines 19 thru 20</v>
      </c>
      <c r="K32" s="587">
        <f t="shared" si="1"/>
        <v>21</v>
      </c>
    </row>
    <row r="33" spans="1:11" ht="16.5" thickTop="1">
      <c r="A33" s="587">
        <f t="shared" si="0"/>
        <v>22</v>
      </c>
      <c r="C33" s="1419"/>
      <c r="D33" s="1419"/>
      <c r="E33" s="1419"/>
      <c r="F33" s="1419"/>
      <c r="G33" s="1419"/>
      <c r="H33" s="1419"/>
      <c r="I33" s="1419"/>
      <c r="J33" s="1419"/>
      <c r="K33" s="587">
        <f t="shared" si="1"/>
        <v>22</v>
      </c>
    </row>
    <row r="34" spans="1:11">
      <c r="A34" s="587">
        <f t="shared" si="0"/>
        <v>23</v>
      </c>
      <c r="B34" s="701" t="s">
        <v>901</v>
      </c>
      <c r="C34" s="1415"/>
      <c r="D34" s="1415"/>
      <c r="E34" s="1415"/>
      <c r="F34" s="1415"/>
      <c r="G34" s="1415"/>
      <c r="H34" s="1415"/>
      <c r="I34" s="791"/>
      <c r="J34" s="791"/>
      <c r="K34" s="587">
        <f t="shared" si="1"/>
        <v>23</v>
      </c>
    </row>
    <row r="35" spans="1:11">
      <c r="A35" s="587">
        <f t="shared" si="0"/>
        <v>24</v>
      </c>
      <c r="B35" s="1420" t="s">
        <v>843</v>
      </c>
      <c r="C35" s="780">
        <v>0</v>
      </c>
      <c r="D35" s="780"/>
      <c r="E35" s="780">
        <v>0</v>
      </c>
      <c r="F35" s="780"/>
      <c r="G35" s="780">
        <v>0</v>
      </c>
      <c r="H35" s="637"/>
      <c r="I35" s="637">
        <f>SUM(C35:G35)</f>
        <v>0</v>
      </c>
      <c r="J35" s="101" t="str">
        <f>"Not Applicable to "&amp;Automation!$B$3&amp;" Base Period"</f>
        <v>Not Applicable to 2019 Base Period</v>
      </c>
      <c r="K35" s="587">
        <f t="shared" si="1"/>
        <v>24</v>
      </c>
    </row>
    <row r="36" spans="1:11">
      <c r="A36" s="587">
        <f t="shared" si="0"/>
        <v>25</v>
      </c>
      <c r="C36" s="290">
        <v>0</v>
      </c>
      <c r="D36" s="290"/>
      <c r="E36" s="290">
        <v>0</v>
      </c>
      <c r="F36" s="290"/>
      <c r="G36" s="290">
        <v>0</v>
      </c>
      <c r="H36" s="290"/>
      <c r="I36" s="290">
        <f>SUM(C36:G36)</f>
        <v>0</v>
      </c>
      <c r="J36" s="290"/>
      <c r="K36" s="587">
        <f t="shared" si="1"/>
        <v>25</v>
      </c>
    </row>
    <row r="37" spans="1:11" ht="16.5" thickBot="1">
      <c r="A37" s="587">
        <f t="shared" si="0"/>
        <v>26</v>
      </c>
      <c r="B37" s="1121" t="s">
        <v>676</v>
      </c>
      <c r="C37" s="1417">
        <f>SUM(C35:C36)</f>
        <v>0</v>
      </c>
      <c r="D37" s="290"/>
      <c r="E37" s="1417">
        <f>SUM(E35:E36)</f>
        <v>0</v>
      </c>
      <c r="F37" s="543"/>
      <c r="G37" s="1417">
        <f>SUM(G35:G36)</f>
        <v>0</v>
      </c>
      <c r="H37" s="290"/>
      <c r="I37" s="1417">
        <f>SUM(I35:I36)</f>
        <v>0</v>
      </c>
      <c r="J37" s="1418" t="str">
        <f>"Sum Lines "&amp;A35&amp;" thru "&amp;A36</f>
        <v>Sum Lines 24 thru 25</v>
      </c>
      <c r="K37" s="587">
        <f t="shared" si="1"/>
        <v>26</v>
      </c>
    </row>
    <row r="38" spans="1:11" ht="16.5" thickTop="1">
      <c r="A38" s="587">
        <f t="shared" si="0"/>
        <v>27</v>
      </c>
      <c r="K38" s="587">
        <f t="shared" si="1"/>
        <v>27</v>
      </c>
    </row>
    <row r="39" spans="1:11">
      <c r="A39" s="587">
        <f t="shared" si="0"/>
        <v>28</v>
      </c>
      <c r="B39" s="701" t="s">
        <v>900</v>
      </c>
      <c r="C39" s="1415"/>
      <c r="D39" s="1415"/>
      <c r="E39" s="1415"/>
      <c r="F39" s="1415"/>
      <c r="G39" s="1415"/>
      <c r="H39" s="1415"/>
      <c r="I39" s="791"/>
      <c r="J39" s="587"/>
      <c r="K39" s="587">
        <f t="shared" si="1"/>
        <v>28</v>
      </c>
    </row>
    <row r="40" spans="1:11">
      <c r="A40" s="587">
        <f t="shared" si="0"/>
        <v>29</v>
      </c>
      <c r="B40" s="701"/>
      <c r="C40" s="637">
        <v>0</v>
      </c>
      <c r="D40" s="637"/>
      <c r="E40" s="637">
        <v>0</v>
      </c>
      <c r="F40" s="637"/>
      <c r="G40" s="637">
        <v>0</v>
      </c>
      <c r="H40" s="637"/>
      <c r="I40" s="637">
        <f>SUM(C40:G40)</f>
        <v>0</v>
      </c>
      <c r="J40" s="101" t="str">
        <f>"Not Applicable to "&amp;Automation!$B$3&amp;" Base Period"</f>
        <v>Not Applicable to 2019 Base Period</v>
      </c>
      <c r="K40" s="587">
        <f t="shared" si="1"/>
        <v>29</v>
      </c>
    </row>
    <row r="41" spans="1:11">
      <c r="A41" s="587">
        <f t="shared" si="0"/>
        <v>30</v>
      </c>
      <c r="B41" s="701"/>
      <c r="C41" s="290">
        <v>0</v>
      </c>
      <c r="D41" s="290"/>
      <c r="E41" s="290">
        <v>0</v>
      </c>
      <c r="F41" s="290"/>
      <c r="G41" s="290">
        <v>0</v>
      </c>
      <c r="H41" s="290"/>
      <c r="I41" s="290">
        <f>SUM(C41:G41)</f>
        <v>0</v>
      </c>
      <c r="J41" s="290"/>
      <c r="K41" s="587">
        <f t="shared" si="1"/>
        <v>30</v>
      </c>
    </row>
    <row r="42" spans="1:11" ht="16.5" thickBot="1">
      <c r="A42" s="587">
        <f t="shared" si="0"/>
        <v>31</v>
      </c>
      <c r="B42" s="1121" t="s">
        <v>846</v>
      </c>
      <c r="C42" s="1417">
        <f>SUM(C40:C41)</f>
        <v>0</v>
      </c>
      <c r="D42" s="290"/>
      <c r="E42" s="1417">
        <f>SUM(E40:E41)</f>
        <v>0</v>
      </c>
      <c r="F42" s="543"/>
      <c r="G42" s="1417">
        <f>SUM(G40:G41)</f>
        <v>0</v>
      </c>
      <c r="H42" s="290"/>
      <c r="I42" s="1417">
        <f>SUM(I40:I41)</f>
        <v>0</v>
      </c>
      <c r="J42" s="1418" t="str">
        <f>"Sum Lines "&amp;A40&amp;" thru "&amp;A41</f>
        <v>Sum Lines 29 thru 30</v>
      </c>
      <c r="K42" s="587">
        <f t="shared" si="1"/>
        <v>31</v>
      </c>
    </row>
    <row r="43" spans="1:11" ht="17.25" thickTop="1" thickBot="1">
      <c r="A43" s="587">
        <f t="shared" si="0"/>
        <v>32</v>
      </c>
      <c r="B43" s="1492"/>
      <c r="C43" s="1493"/>
      <c r="D43" s="483"/>
      <c r="E43" s="1493"/>
      <c r="F43" s="1493"/>
      <c r="G43" s="1493"/>
      <c r="H43" s="483"/>
      <c r="I43" s="1493"/>
      <c r="J43" s="1494"/>
      <c r="K43" s="587">
        <f t="shared" si="1"/>
        <v>32</v>
      </c>
    </row>
    <row r="44" spans="1:11">
      <c r="A44" s="587">
        <f t="shared" si="0"/>
        <v>33</v>
      </c>
      <c r="B44" s="1121"/>
      <c r="C44" s="543"/>
      <c r="D44" s="290"/>
      <c r="E44" s="543"/>
      <c r="F44" s="543"/>
      <c r="G44" s="543"/>
      <c r="H44" s="290"/>
      <c r="I44" s="543"/>
      <c r="J44" s="1418"/>
      <c r="K44" s="587">
        <f t="shared" si="1"/>
        <v>33</v>
      </c>
    </row>
    <row r="45" spans="1:11">
      <c r="A45" s="587">
        <f t="shared" si="0"/>
        <v>34</v>
      </c>
      <c r="B45" s="99" t="s">
        <v>114</v>
      </c>
      <c r="C45" s="15">
        <v>0</v>
      </c>
      <c r="D45" s="290"/>
      <c r="E45" s="15">
        <v>0</v>
      </c>
      <c r="F45" s="543"/>
      <c r="G45" s="15">
        <v>0</v>
      </c>
      <c r="H45" s="290"/>
      <c r="I45" s="637">
        <f>SUM(C45:G45)</f>
        <v>0</v>
      </c>
      <c r="J45" s="101" t="str">
        <f>"Not Applicable to "&amp;Automation!$B$3&amp;" Base Period"</f>
        <v>Not Applicable to 2019 Base Period</v>
      </c>
      <c r="K45" s="587">
        <f t="shared" si="1"/>
        <v>34</v>
      </c>
    </row>
    <row r="46" spans="1:11">
      <c r="B46" s="1121"/>
      <c r="C46" s="543"/>
      <c r="D46" s="290"/>
      <c r="E46" s="543"/>
      <c r="F46" s="543"/>
      <c r="G46" s="543"/>
      <c r="H46" s="290"/>
      <c r="I46" s="543"/>
      <c r="J46" s="1418"/>
    </row>
    <row r="48" spans="1:11" ht="18.75">
      <c r="A48" s="977"/>
      <c r="B48" s="100"/>
    </row>
  </sheetData>
  <mergeCells count="5">
    <mergeCell ref="B2:J2"/>
    <mergeCell ref="B3:J3"/>
    <mergeCell ref="B4:J4"/>
    <mergeCell ref="B5:J5"/>
    <mergeCell ref="B6:J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75E7E-7CAE-4399-B6F7-2D549ACA32DC}">
  <sheetPr>
    <pageSetUpPr fitToPage="1"/>
  </sheetPr>
  <dimension ref="A2:K48"/>
  <sheetViews>
    <sheetView topLeftCell="A10" zoomScale="80" zoomScaleNormal="80" zoomScaleSheetLayoutView="70" workbookViewId="0">
      <selection activeCell="C7" sqref="C7"/>
    </sheetView>
  </sheetViews>
  <sheetFormatPr defaultColWidth="8.85546875" defaultRowHeight="15.75"/>
  <cols>
    <col min="1" max="1" width="5.85546875" style="587" customWidth="1"/>
    <col min="2" max="2" width="62.85546875" style="1461" bestFit="1" customWidth="1"/>
    <col min="3" max="3" width="16.85546875" style="1461" customWidth="1"/>
    <col min="4" max="4" width="1.5703125" style="1461" customWidth="1"/>
    <col min="5" max="5" width="16.85546875" style="1461" customWidth="1"/>
    <col min="6" max="6" width="1.5703125" style="1461" customWidth="1"/>
    <col min="7" max="7" width="16.85546875" style="1461" customWidth="1"/>
    <col min="8" max="8" width="1.5703125" style="1461" customWidth="1"/>
    <col min="9" max="9" width="23.42578125" style="1461" bestFit="1" customWidth="1"/>
    <col min="10" max="10" width="62.5703125" style="1461" customWidth="1"/>
    <col min="11" max="11" width="5.140625" style="587" customWidth="1"/>
    <col min="12" max="16384" width="8.85546875" style="1461"/>
  </cols>
  <sheetData>
    <row r="2" spans="1:11">
      <c r="B2" s="1635" t="s">
        <v>17</v>
      </c>
      <c r="C2" s="1635"/>
      <c r="D2" s="1635"/>
      <c r="E2" s="1635"/>
      <c r="F2" s="1635"/>
      <c r="G2" s="1635"/>
      <c r="H2" s="1635"/>
      <c r="I2" s="1635"/>
      <c r="J2" s="1635"/>
    </row>
    <row r="3" spans="1:11">
      <c r="B3" s="1635" t="s">
        <v>891</v>
      </c>
      <c r="C3" s="1635"/>
      <c r="D3" s="1635"/>
      <c r="E3" s="1635"/>
      <c r="F3" s="1635"/>
      <c r="G3" s="1635"/>
      <c r="H3" s="1635"/>
      <c r="I3" s="1635"/>
      <c r="J3" s="1635"/>
    </row>
    <row r="4" spans="1:11">
      <c r="B4" s="1635" t="s">
        <v>892</v>
      </c>
      <c r="C4" s="1635"/>
      <c r="D4" s="1635"/>
      <c r="E4" s="1635"/>
      <c r="F4" s="1635"/>
      <c r="G4" s="1635"/>
      <c r="H4" s="1635"/>
      <c r="I4" s="1635"/>
      <c r="J4" s="1635"/>
    </row>
    <row r="5" spans="1:11">
      <c r="B5" s="1635" t="str">
        <f>"Base Period 12 Months Ending December 31, "&amp;Automation!$B$3</f>
        <v>Base Period 12 Months Ending December 31, 2019</v>
      </c>
      <c r="C5" s="1635"/>
      <c r="D5" s="1635"/>
      <c r="E5" s="1635"/>
      <c r="F5" s="1635"/>
      <c r="G5" s="1635"/>
      <c r="H5" s="1635"/>
      <c r="I5" s="1635"/>
      <c r="J5" s="1635"/>
    </row>
    <row r="6" spans="1:11" ht="15.6" customHeight="1">
      <c r="B6" s="1652" t="s">
        <v>2</v>
      </c>
      <c r="C6" s="1652"/>
      <c r="D6" s="1652"/>
      <c r="E6" s="1652"/>
      <c r="F6" s="1652"/>
      <c r="G6" s="1652"/>
      <c r="H6" s="1652"/>
      <c r="I6" s="1652"/>
      <c r="J6" s="1652"/>
    </row>
    <row r="8" spans="1:11">
      <c r="B8" s="1456"/>
      <c r="C8" s="1455" t="s">
        <v>4</v>
      </c>
      <c r="D8" s="1455"/>
      <c r="E8" s="1455" t="s">
        <v>5</v>
      </c>
      <c r="F8" s="1455"/>
      <c r="G8" s="1455" t="s">
        <v>223</v>
      </c>
      <c r="H8" s="1455"/>
      <c r="I8" s="1410" t="s">
        <v>893</v>
      </c>
      <c r="J8" s="1455"/>
    </row>
    <row r="9" spans="1:11">
      <c r="A9" s="587" t="s">
        <v>3</v>
      </c>
      <c r="B9" s="1456"/>
      <c r="C9" s="1455" t="s">
        <v>894</v>
      </c>
      <c r="D9" s="1455"/>
      <c r="E9" s="1455" t="s">
        <v>837</v>
      </c>
      <c r="F9" s="1455"/>
      <c r="G9" s="1455" t="s">
        <v>837</v>
      </c>
      <c r="H9" s="1455"/>
      <c r="I9" s="1455"/>
      <c r="J9" s="1455"/>
      <c r="K9" s="587" t="s">
        <v>3</v>
      </c>
    </row>
    <row r="10" spans="1:11">
      <c r="A10" s="445" t="s">
        <v>24</v>
      </c>
      <c r="B10" s="1412" t="s">
        <v>71</v>
      </c>
      <c r="C10" s="1413" t="s">
        <v>895</v>
      </c>
      <c r="D10" s="1413"/>
      <c r="E10" s="1413" t="s">
        <v>838</v>
      </c>
      <c r="F10" s="1413"/>
      <c r="G10" s="1413" t="s">
        <v>839</v>
      </c>
      <c r="H10" s="1413"/>
      <c r="I10" s="1412" t="s">
        <v>30</v>
      </c>
      <c r="J10" s="1412" t="s">
        <v>8</v>
      </c>
      <c r="K10" s="445" t="s">
        <v>24</v>
      </c>
    </row>
    <row r="11" spans="1:11">
      <c r="A11" s="445"/>
      <c r="B11" s="433"/>
      <c r="C11" s="1414"/>
      <c r="D11" s="1414"/>
      <c r="E11" s="1414"/>
      <c r="F11" s="1414"/>
      <c r="G11" s="1414"/>
      <c r="H11" s="1414"/>
      <c r="I11" s="793"/>
      <c r="J11" s="793"/>
      <c r="K11" s="445"/>
    </row>
    <row r="12" spans="1:11">
      <c r="A12" s="587">
        <v>1</v>
      </c>
      <c r="B12" s="701" t="s">
        <v>899</v>
      </c>
      <c r="C12" s="1415"/>
      <c r="D12" s="1415"/>
      <c r="E12" s="1415"/>
      <c r="F12" s="1415"/>
      <c r="G12" s="1415"/>
      <c r="H12" s="1415"/>
      <c r="I12" s="791"/>
      <c r="J12" s="791"/>
      <c r="K12" s="587">
        <f>A12</f>
        <v>1</v>
      </c>
    </row>
    <row r="13" spans="1:11">
      <c r="A13" s="587">
        <f>A12+1</f>
        <v>2</v>
      </c>
      <c r="B13" s="701" t="s">
        <v>840</v>
      </c>
      <c r="C13" s="780">
        <v>772.52322837828797</v>
      </c>
      <c r="D13" s="780"/>
      <c r="E13" s="780">
        <v>0</v>
      </c>
      <c r="F13" s="780"/>
      <c r="G13" s="780">
        <v>214.49058265600002</v>
      </c>
      <c r="H13" s="1416"/>
      <c r="I13" s="637">
        <f>SUM(C13:G13)</f>
        <v>987.01381103428798</v>
      </c>
      <c r="J13" s="676" t="s">
        <v>973</v>
      </c>
      <c r="K13" s="587">
        <f>K12+1</f>
        <v>2</v>
      </c>
    </row>
    <row r="14" spans="1:11">
      <c r="A14" s="587">
        <f t="shared" ref="A14:A45" si="0">A13+1</f>
        <v>3</v>
      </c>
      <c r="B14" s="701" t="s">
        <v>841</v>
      </c>
      <c r="C14" s="812">
        <v>245.18064680224461</v>
      </c>
      <c r="D14" s="812"/>
      <c r="E14" s="812">
        <v>0</v>
      </c>
      <c r="F14" s="812"/>
      <c r="G14" s="812">
        <v>555.45000000000005</v>
      </c>
      <c r="H14" s="812"/>
      <c r="I14" s="290">
        <f>SUM(C14:G14)</f>
        <v>800.63064680224466</v>
      </c>
      <c r="J14" s="676" t="s">
        <v>973</v>
      </c>
      <c r="K14" s="587">
        <f t="shared" ref="K14:K45" si="1">K13+1</f>
        <v>3</v>
      </c>
    </row>
    <row r="15" spans="1:11">
      <c r="A15" s="587">
        <f t="shared" si="0"/>
        <v>4</v>
      </c>
      <c r="B15" s="701" t="s">
        <v>842</v>
      </c>
      <c r="C15" s="812">
        <v>119232.95199162784</v>
      </c>
      <c r="D15" s="812"/>
      <c r="E15" s="812">
        <v>108238.52431003426</v>
      </c>
      <c r="F15" s="812"/>
      <c r="G15" s="812">
        <v>0</v>
      </c>
      <c r="H15" s="812"/>
      <c r="I15" s="290">
        <f>SUM(C15:G15)</f>
        <v>227471.4763016621</v>
      </c>
      <c r="J15" s="676" t="s">
        <v>973</v>
      </c>
      <c r="K15" s="587">
        <f t="shared" si="1"/>
        <v>4</v>
      </c>
    </row>
    <row r="16" spans="1:11" ht="16.5" thickBot="1">
      <c r="A16" s="587">
        <f t="shared" si="0"/>
        <v>5</v>
      </c>
      <c r="B16" s="1121" t="s">
        <v>675</v>
      </c>
      <c r="C16" s="1417">
        <f>SUM(C13:C15)</f>
        <v>120250.65586680837</v>
      </c>
      <c r="D16" s="290"/>
      <c r="E16" s="1417">
        <f>SUM(E13:E15)</f>
        <v>108238.52431003426</v>
      </c>
      <c r="F16" s="543"/>
      <c r="G16" s="1417">
        <f>SUM(G13:G15)</f>
        <v>769.94058265600006</v>
      </c>
      <c r="H16" s="290"/>
      <c r="I16" s="1417">
        <f>SUM(I13:I15)</f>
        <v>229259.12075949862</v>
      </c>
      <c r="J16" s="1418" t="str">
        <f>"Sum Lines "&amp;A13&amp;" thru "&amp;A15</f>
        <v>Sum Lines 2 thru 4</v>
      </c>
      <c r="K16" s="587">
        <f t="shared" si="1"/>
        <v>5</v>
      </c>
    </row>
    <row r="17" spans="1:11" ht="16.5" thickTop="1">
      <c r="A17" s="587">
        <f t="shared" si="0"/>
        <v>6</v>
      </c>
      <c r="C17" s="1419"/>
      <c r="D17" s="1419"/>
      <c r="E17" s="1419"/>
      <c r="F17" s="1419"/>
      <c r="G17" s="1419"/>
      <c r="H17" s="1419"/>
      <c r="I17" s="1419"/>
      <c r="J17" s="1419"/>
      <c r="K17" s="587">
        <f t="shared" si="1"/>
        <v>6</v>
      </c>
    </row>
    <row r="18" spans="1:11">
      <c r="A18" s="587">
        <f t="shared" si="0"/>
        <v>7</v>
      </c>
      <c r="B18" s="701" t="s">
        <v>897</v>
      </c>
      <c r="C18" s="1415"/>
      <c r="D18" s="1415"/>
      <c r="E18" s="1415"/>
      <c r="F18" s="1415"/>
      <c r="G18" s="1415"/>
      <c r="H18" s="1415"/>
      <c r="I18" s="791"/>
      <c r="J18" s="791"/>
      <c r="K18" s="587">
        <f t="shared" si="1"/>
        <v>7</v>
      </c>
    </row>
    <row r="19" spans="1:11">
      <c r="A19" s="587">
        <f t="shared" si="0"/>
        <v>8</v>
      </c>
      <c r="B19" s="1420" t="s">
        <v>843</v>
      </c>
      <c r="C19" s="637">
        <v>-720245.32493159163</v>
      </c>
      <c r="D19" s="637"/>
      <c r="E19" s="637">
        <v>-372880.70933477907</v>
      </c>
      <c r="F19" s="637"/>
      <c r="G19" s="637">
        <v>-8049.9021669952472</v>
      </c>
      <c r="H19" s="637"/>
      <c r="I19" s="637">
        <f>SUM(C19:G19)</f>
        <v>-1101175.936433366</v>
      </c>
      <c r="J19" s="676" t="s">
        <v>974</v>
      </c>
      <c r="K19" s="587">
        <f t="shared" si="1"/>
        <v>8</v>
      </c>
    </row>
    <row r="20" spans="1:11">
      <c r="A20" s="587">
        <f t="shared" si="0"/>
        <v>9</v>
      </c>
      <c r="C20" s="290">
        <v>0</v>
      </c>
      <c r="D20" s="290"/>
      <c r="E20" s="290">
        <v>0</v>
      </c>
      <c r="F20" s="290"/>
      <c r="G20" s="290">
        <v>0</v>
      </c>
      <c r="H20" s="290"/>
      <c r="I20" s="290">
        <f>SUM(C20:G20)</f>
        <v>0</v>
      </c>
      <c r="J20" s="290"/>
      <c r="K20" s="587">
        <f t="shared" si="1"/>
        <v>9</v>
      </c>
    </row>
    <row r="21" spans="1:11" ht="16.5" thickBot="1">
      <c r="A21" s="587">
        <f t="shared" si="0"/>
        <v>10</v>
      </c>
      <c r="B21" s="1121" t="s">
        <v>676</v>
      </c>
      <c r="C21" s="1417">
        <f>SUM(C19:C20)</f>
        <v>-720245.32493159163</v>
      </c>
      <c r="D21" s="290"/>
      <c r="E21" s="1417">
        <f>SUM(E19:E20)</f>
        <v>-372880.70933477907</v>
      </c>
      <c r="F21" s="543"/>
      <c r="G21" s="1417">
        <f>SUM(G19:G20)</f>
        <v>-8049.9021669952472</v>
      </c>
      <c r="H21" s="290"/>
      <c r="I21" s="1417">
        <f>SUM(I19:I20)</f>
        <v>-1101175.936433366</v>
      </c>
      <c r="J21" s="1418" t="str">
        <f>"Sum Lines "&amp;A19&amp;" thru "&amp;A20</f>
        <v>Sum Lines 8 thru 9</v>
      </c>
      <c r="K21" s="587">
        <f t="shared" si="1"/>
        <v>10</v>
      </c>
    </row>
    <row r="22" spans="1:11" ht="16.5" thickTop="1">
      <c r="A22" s="587">
        <f t="shared" si="0"/>
        <v>11</v>
      </c>
      <c r="K22" s="587">
        <f t="shared" si="1"/>
        <v>11</v>
      </c>
    </row>
    <row r="23" spans="1:11">
      <c r="A23" s="587">
        <f t="shared" si="0"/>
        <v>12</v>
      </c>
      <c r="B23" s="701" t="s">
        <v>896</v>
      </c>
      <c r="C23" s="1415"/>
      <c r="D23" s="1415"/>
      <c r="E23" s="1415"/>
      <c r="F23" s="1415"/>
      <c r="G23" s="1415"/>
      <c r="H23" s="1415"/>
      <c r="I23" s="791"/>
      <c r="J23" s="587"/>
      <c r="K23" s="587">
        <f t="shared" si="1"/>
        <v>12</v>
      </c>
    </row>
    <row r="24" spans="1:11">
      <c r="A24" s="587">
        <f t="shared" si="0"/>
        <v>13</v>
      </c>
      <c r="B24" s="701" t="s">
        <v>845</v>
      </c>
      <c r="C24" s="780">
        <v>-5987.5143200000075</v>
      </c>
      <c r="D24" s="780"/>
      <c r="E24" s="780">
        <v>0</v>
      </c>
      <c r="F24" s="780"/>
      <c r="G24" s="780">
        <v>0</v>
      </c>
      <c r="H24" s="1416"/>
      <c r="I24" s="637">
        <f>SUM(C24:G24)</f>
        <v>-5987.5143200000075</v>
      </c>
      <c r="J24" s="676" t="s">
        <v>975</v>
      </c>
      <c r="K24" s="587">
        <f t="shared" si="1"/>
        <v>13</v>
      </c>
    </row>
    <row r="25" spans="1:11">
      <c r="A25" s="587">
        <f t="shared" si="0"/>
        <v>14</v>
      </c>
      <c r="B25" s="701"/>
      <c r="C25" s="290">
        <v>0</v>
      </c>
      <c r="D25" s="290"/>
      <c r="E25" s="290">
        <v>0</v>
      </c>
      <c r="F25" s="290"/>
      <c r="G25" s="290">
        <v>0</v>
      </c>
      <c r="H25" s="290"/>
      <c r="I25" s="290">
        <f>SUM(C25:G25)</f>
        <v>0</v>
      </c>
      <c r="J25" s="290"/>
      <c r="K25" s="587">
        <f t="shared" si="1"/>
        <v>14</v>
      </c>
    </row>
    <row r="26" spans="1:11" ht="16.5" thickBot="1">
      <c r="A26" s="587">
        <f t="shared" si="0"/>
        <v>15</v>
      </c>
      <c r="B26" s="1121" t="s">
        <v>846</v>
      </c>
      <c r="C26" s="1417">
        <f>SUM(C24:C25)</f>
        <v>-5987.5143200000075</v>
      </c>
      <c r="D26" s="290"/>
      <c r="E26" s="1417">
        <f>SUM(E24:E25)</f>
        <v>0</v>
      </c>
      <c r="F26" s="543"/>
      <c r="G26" s="1417">
        <f>SUM(G24:G25)</f>
        <v>0</v>
      </c>
      <c r="H26" s="290"/>
      <c r="I26" s="1417">
        <f>SUM(I24:I25)</f>
        <v>-5987.5143200000075</v>
      </c>
      <c r="J26" s="1418" t="str">
        <f>"Sum Lines "&amp;A24&amp;" thru "&amp;A25</f>
        <v>Sum Lines 13 thru 14</v>
      </c>
      <c r="K26" s="587">
        <f t="shared" si="1"/>
        <v>15</v>
      </c>
    </row>
    <row r="27" spans="1:11" ht="17.25" thickTop="1" thickBot="1">
      <c r="A27" s="587">
        <f t="shared" si="0"/>
        <v>16</v>
      </c>
      <c r="B27" s="474"/>
      <c r="C27" s="474"/>
      <c r="D27" s="474"/>
      <c r="E27" s="474"/>
      <c r="F27" s="474"/>
      <c r="G27" s="474"/>
      <c r="H27" s="474"/>
      <c r="I27" s="474"/>
      <c r="J27" s="474"/>
      <c r="K27" s="587">
        <f t="shared" si="1"/>
        <v>16</v>
      </c>
    </row>
    <row r="28" spans="1:11">
      <c r="A28" s="587">
        <f t="shared" si="0"/>
        <v>17</v>
      </c>
      <c r="K28" s="587">
        <f t="shared" si="1"/>
        <v>17</v>
      </c>
    </row>
    <row r="29" spans="1:11">
      <c r="A29" s="587">
        <f t="shared" si="0"/>
        <v>18</v>
      </c>
      <c r="B29" s="701" t="s">
        <v>898</v>
      </c>
      <c r="C29" s="1415"/>
      <c r="D29" s="1415"/>
      <c r="E29" s="1415"/>
      <c r="F29" s="1415"/>
      <c r="G29" s="1415"/>
      <c r="H29" s="1415"/>
      <c r="I29" s="791"/>
      <c r="J29" s="791"/>
      <c r="K29" s="587">
        <f t="shared" si="1"/>
        <v>18</v>
      </c>
    </row>
    <row r="30" spans="1:11">
      <c r="A30" s="587">
        <f t="shared" si="0"/>
        <v>19</v>
      </c>
      <c r="B30" s="701" t="s">
        <v>842</v>
      </c>
      <c r="C30" s="637">
        <v>0</v>
      </c>
      <c r="D30" s="637"/>
      <c r="E30" s="637">
        <v>0</v>
      </c>
      <c r="F30" s="637"/>
      <c r="G30" s="637">
        <v>0</v>
      </c>
      <c r="H30" s="780"/>
      <c r="I30" s="637">
        <f>SUM(C30:G30)</f>
        <v>0</v>
      </c>
      <c r="J30" s="676" t="s">
        <v>976</v>
      </c>
      <c r="K30" s="587">
        <f t="shared" si="1"/>
        <v>19</v>
      </c>
    </row>
    <row r="31" spans="1:11">
      <c r="A31" s="587">
        <f t="shared" si="0"/>
        <v>20</v>
      </c>
      <c r="C31" s="290">
        <v>0</v>
      </c>
      <c r="D31" s="290"/>
      <c r="E31" s="290">
        <v>0</v>
      </c>
      <c r="F31" s="290"/>
      <c r="G31" s="290">
        <v>0</v>
      </c>
      <c r="H31" s="290"/>
      <c r="I31" s="290">
        <f>SUM(C31:G31)</f>
        <v>0</v>
      </c>
      <c r="J31" s="290"/>
      <c r="K31" s="587">
        <f t="shared" si="1"/>
        <v>20</v>
      </c>
    </row>
    <row r="32" spans="1:11" ht="16.5" thickBot="1">
      <c r="A32" s="587">
        <f t="shared" si="0"/>
        <v>21</v>
      </c>
      <c r="B32" s="1121" t="s">
        <v>675</v>
      </c>
      <c r="C32" s="1417">
        <f>SUM(C30:C31)</f>
        <v>0</v>
      </c>
      <c r="D32" s="290"/>
      <c r="E32" s="1417">
        <f>SUM(E30:E31)</f>
        <v>0</v>
      </c>
      <c r="F32" s="543"/>
      <c r="G32" s="1417">
        <f>SUM(G30:G31)</f>
        <v>0</v>
      </c>
      <c r="H32" s="290"/>
      <c r="I32" s="1417">
        <f>SUM(I30:I31)</f>
        <v>0</v>
      </c>
      <c r="J32" s="1418" t="str">
        <f>"Sum Lines "&amp;A30&amp;" thru "&amp;A31</f>
        <v>Sum Lines 19 thru 20</v>
      </c>
      <c r="K32" s="587">
        <f t="shared" si="1"/>
        <v>21</v>
      </c>
    </row>
    <row r="33" spans="1:11" ht="16.5" thickTop="1">
      <c r="A33" s="587">
        <f t="shared" si="0"/>
        <v>22</v>
      </c>
      <c r="C33" s="1419"/>
      <c r="D33" s="1419"/>
      <c r="E33" s="1419"/>
      <c r="F33" s="1419"/>
      <c r="G33" s="1419"/>
      <c r="H33" s="1419"/>
      <c r="I33" s="1419"/>
      <c r="J33" s="1419"/>
      <c r="K33" s="587">
        <f t="shared" si="1"/>
        <v>22</v>
      </c>
    </row>
    <row r="34" spans="1:11">
      <c r="A34" s="587">
        <f t="shared" si="0"/>
        <v>23</v>
      </c>
      <c r="B34" s="701" t="s">
        <v>901</v>
      </c>
      <c r="C34" s="1415"/>
      <c r="D34" s="1415"/>
      <c r="E34" s="1415"/>
      <c r="F34" s="1415"/>
      <c r="G34" s="1415"/>
      <c r="H34" s="1415"/>
      <c r="I34" s="791"/>
      <c r="J34" s="791"/>
      <c r="K34" s="587">
        <f t="shared" si="1"/>
        <v>23</v>
      </c>
    </row>
    <row r="35" spans="1:11">
      <c r="A35" s="587">
        <f t="shared" si="0"/>
        <v>24</v>
      </c>
      <c r="B35" s="1420" t="s">
        <v>843</v>
      </c>
      <c r="C35" s="637">
        <v>-2872.3400080000001</v>
      </c>
      <c r="D35" s="637"/>
      <c r="E35" s="637">
        <v>0</v>
      </c>
      <c r="F35" s="637"/>
      <c r="G35" s="637">
        <v>0</v>
      </c>
      <c r="H35" s="637"/>
      <c r="I35" s="637">
        <f>SUM(C35:G35)</f>
        <v>-2872.3400080000001</v>
      </c>
      <c r="J35" s="676" t="s">
        <v>977</v>
      </c>
      <c r="K35" s="587">
        <f t="shared" si="1"/>
        <v>24</v>
      </c>
    </row>
    <row r="36" spans="1:11">
      <c r="A36" s="587">
        <f t="shared" si="0"/>
        <v>25</v>
      </c>
      <c r="C36" s="290">
        <v>0</v>
      </c>
      <c r="D36" s="290"/>
      <c r="E36" s="290">
        <v>0</v>
      </c>
      <c r="F36" s="290"/>
      <c r="G36" s="290">
        <v>0</v>
      </c>
      <c r="H36" s="290"/>
      <c r="I36" s="290">
        <f>SUM(C36:G36)</f>
        <v>0</v>
      </c>
      <c r="J36" s="290"/>
      <c r="K36" s="587">
        <f t="shared" si="1"/>
        <v>25</v>
      </c>
    </row>
    <row r="37" spans="1:11" ht="16.5" thickBot="1">
      <c r="A37" s="587">
        <f t="shared" si="0"/>
        <v>26</v>
      </c>
      <c r="B37" s="1121" t="s">
        <v>676</v>
      </c>
      <c r="C37" s="1417">
        <f>SUM(C35:C36)</f>
        <v>-2872.3400080000001</v>
      </c>
      <c r="D37" s="290"/>
      <c r="E37" s="1417">
        <f>SUM(E35:E36)</f>
        <v>0</v>
      </c>
      <c r="F37" s="543"/>
      <c r="G37" s="1417">
        <f>SUM(G35:G36)</f>
        <v>0</v>
      </c>
      <c r="H37" s="290"/>
      <c r="I37" s="1417">
        <f>SUM(I35:I36)</f>
        <v>-2872.3400080000001</v>
      </c>
      <c r="J37" s="1418" t="str">
        <f>"Sum Lines "&amp;A35&amp;" thru "&amp;A36</f>
        <v>Sum Lines 24 thru 25</v>
      </c>
      <c r="K37" s="587">
        <f t="shared" si="1"/>
        <v>26</v>
      </c>
    </row>
    <row r="38" spans="1:11" ht="16.5" thickTop="1">
      <c r="A38" s="587">
        <f t="shared" si="0"/>
        <v>27</v>
      </c>
      <c r="J38" s="1520"/>
      <c r="K38" s="587">
        <f t="shared" si="1"/>
        <v>27</v>
      </c>
    </row>
    <row r="39" spans="1:11">
      <c r="A39" s="587">
        <f t="shared" si="0"/>
        <v>28</v>
      </c>
      <c r="B39" s="701" t="s">
        <v>900</v>
      </c>
      <c r="C39" s="1415"/>
      <c r="D39" s="1415"/>
      <c r="E39" s="1415"/>
      <c r="F39" s="1415"/>
      <c r="G39" s="1415"/>
      <c r="H39" s="1415"/>
      <c r="I39" s="791"/>
      <c r="J39" s="587"/>
      <c r="K39" s="587">
        <f t="shared" si="1"/>
        <v>28</v>
      </c>
    </row>
    <row r="40" spans="1:11">
      <c r="A40" s="587">
        <f t="shared" si="0"/>
        <v>29</v>
      </c>
      <c r="B40" s="701"/>
      <c r="C40" s="637">
        <v>0</v>
      </c>
      <c r="D40" s="637"/>
      <c r="E40" s="637">
        <v>0</v>
      </c>
      <c r="F40" s="637"/>
      <c r="G40" s="637">
        <v>0</v>
      </c>
      <c r="H40" s="637"/>
      <c r="I40" s="637">
        <f>SUM(C40:G40)</f>
        <v>0</v>
      </c>
      <c r="J40" s="101" t="str">
        <f>"Not Applicable to "&amp;Automation!$B$3&amp;" Base Period"</f>
        <v>Not Applicable to 2019 Base Period</v>
      </c>
      <c r="K40" s="587">
        <f t="shared" si="1"/>
        <v>29</v>
      </c>
    </row>
    <row r="41" spans="1:11">
      <c r="A41" s="587">
        <f t="shared" si="0"/>
        <v>30</v>
      </c>
      <c r="B41" s="701"/>
      <c r="C41" s="290">
        <v>0</v>
      </c>
      <c r="D41" s="290"/>
      <c r="E41" s="290">
        <v>0</v>
      </c>
      <c r="F41" s="290"/>
      <c r="G41" s="290">
        <v>0</v>
      </c>
      <c r="H41" s="290"/>
      <c r="I41" s="290">
        <f>SUM(C41:G41)</f>
        <v>0</v>
      </c>
      <c r="J41" s="290"/>
      <c r="K41" s="587">
        <f t="shared" si="1"/>
        <v>30</v>
      </c>
    </row>
    <row r="42" spans="1:11" ht="16.5" thickBot="1">
      <c r="A42" s="587">
        <f t="shared" si="0"/>
        <v>31</v>
      </c>
      <c r="B42" s="1121" t="s">
        <v>846</v>
      </c>
      <c r="C42" s="1417">
        <f>SUM(C40:C41)</f>
        <v>0</v>
      </c>
      <c r="D42" s="290"/>
      <c r="E42" s="1417">
        <f>SUM(E40:E41)</f>
        <v>0</v>
      </c>
      <c r="F42" s="543"/>
      <c r="G42" s="1417">
        <f>SUM(G40:G41)</f>
        <v>0</v>
      </c>
      <c r="H42" s="290"/>
      <c r="I42" s="1417">
        <f>SUM(I40:I41)</f>
        <v>0</v>
      </c>
      <c r="J42" s="1418" t="str">
        <f>"Sum Lines "&amp;A40&amp;" thru "&amp;A41</f>
        <v>Sum Lines 29 thru 30</v>
      </c>
      <c r="K42" s="587">
        <f t="shared" si="1"/>
        <v>31</v>
      </c>
    </row>
    <row r="43" spans="1:11" ht="17.25" thickTop="1" thickBot="1">
      <c r="A43" s="587">
        <f t="shared" si="0"/>
        <v>32</v>
      </c>
      <c r="B43" s="1492"/>
      <c r="C43" s="1493"/>
      <c r="D43" s="483"/>
      <c r="E43" s="1493"/>
      <c r="F43" s="1493"/>
      <c r="G43" s="1493"/>
      <c r="H43" s="483"/>
      <c r="I43" s="1493"/>
      <c r="J43" s="1494"/>
      <c r="K43" s="587">
        <f t="shared" si="1"/>
        <v>32</v>
      </c>
    </row>
    <row r="44" spans="1:11">
      <c r="A44" s="587">
        <f t="shared" si="0"/>
        <v>33</v>
      </c>
      <c r="B44" s="1121"/>
      <c r="C44" s="543"/>
      <c r="D44" s="290"/>
      <c r="E44" s="543"/>
      <c r="F44" s="543"/>
      <c r="G44" s="543"/>
      <c r="H44" s="290"/>
      <c r="I44" s="543"/>
      <c r="J44" s="1418"/>
      <c r="K44" s="587">
        <f t="shared" si="1"/>
        <v>33</v>
      </c>
    </row>
    <row r="45" spans="1:11">
      <c r="A45" s="587">
        <f t="shared" si="0"/>
        <v>34</v>
      </c>
      <c r="B45" s="99" t="s">
        <v>114</v>
      </c>
      <c r="C45" s="15">
        <v>0</v>
      </c>
      <c r="D45" s="290"/>
      <c r="E45" s="15">
        <v>0</v>
      </c>
      <c r="F45" s="543"/>
      <c r="G45" s="15">
        <v>0</v>
      </c>
      <c r="H45" s="290"/>
      <c r="I45" s="637">
        <f>SUM(C45:G45)</f>
        <v>0</v>
      </c>
      <c r="J45" s="101" t="str">
        <f>"Not Applicable to "&amp;Automation!$B$3&amp;" Base Period"</f>
        <v>Not Applicable to 2019 Base Period</v>
      </c>
      <c r="K45" s="587">
        <f t="shared" si="1"/>
        <v>34</v>
      </c>
    </row>
    <row r="46" spans="1:11">
      <c r="B46" s="1121"/>
      <c r="C46" s="543"/>
      <c r="D46" s="290"/>
      <c r="E46" s="543"/>
      <c r="F46" s="543"/>
      <c r="G46" s="543"/>
      <c r="H46" s="290"/>
      <c r="I46" s="543"/>
      <c r="J46" s="1418"/>
    </row>
    <row r="48" spans="1:11" ht="18.75">
      <c r="A48" s="977"/>
      <c r="B48" s="100"/>
    </row>
  </sheetData>
  <mergeCells count="5">
    <mergeCell ref="B2:J2"/>
    <mergeCell ref="B3:J3"/>
    <mergeCell ref="B4:J4"/>
    <mergeCell ref="B5:J5"/>
    <mergeCell ref="B6:J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2:K58"/>
  <sheetViews>
    <sheetView zoomScale="80" zoomScaleNormal="80" workbookViewId="0">
      <selection activeCell="C7" sqref="C7"/>
    </sheetView>
  </sheetViews>
  <sheetFormatPr defaultColWidth="8.85546875" defaultRowHeight="15.75"/>
  <cols>
    <col min="1" max="1" width="5.140625" style="587" bestFit="1" customWidth="1"/>
    <col min="2" max="2" width="45.85546875" style="4" customWidth="1"/>
    <col min="3" max="5" width="18.5703125" style="4" customWidth="1"/>
    <col min="6" max="6" width="25.140625" style="5" customWidth="1"/>
    <col min="7" max="7" width="5.140625" style="587" bestFit="1" customWidth="1"/>
    <col min="8" max="8" width="8.85546875" style="4"/>
    <col min="9" max="9" width="17.85546875" style="4" bestFit="1" customWidth="1"/>
    <col min="10" max="16384" width="8.85546875" style="4"/>
  </cols>
  <sheetData>
    <row r="2" spans="1:11">
      <c r="A2" s="978"/>
      <c r="B2" s="1654" t="str">
        <f>'Summary of Cost Components'!B3:D3</f>
        <v>CITIZENS' SHARE OF THE SX-PQ UNDERGROUND LINE SEGMENT</v>
      </c>
      <c r="C2" s="1654"/>
      <c r="D2" s="1654"/>
      <c r="E2" s="1654"/>
      <c r="F2" s="1654"/>
      <c r="G2" s="978"/>
      <c r="H2" s="162"/>
      <c r="I2" s="162"/>
      <c r="J2" s="162"/>
      <c r="K2" s="162"/>
    </row>
    <row r="3" spans="1:11">
      <c r="A3" s="978"/>
      <c r="B3" s="1655" t="s">
        <v>551</v>
      </c>
      <c r="C3" s="1655"/>
      <c r="D3" s="1655"/>
      <c r="E3" s="1655"/>
      <c r="F3" s="1655"/>
      <c r="G3" s="978"/>
      <c r="H3" s="162"/>
      <c r="I3" s="162"/>
      <c r="J3" s="162"/>
      <c r="K3" s="162"/>
    </row>
    <row r="4" spans="1:11">
      <c r="A4" s="978"/>
      <c r="B4" s="1655" t="str">
        <f>"Base Period &amp; True-Up Period 12 - Months Ending December 31, "&amp;Automation!B3</f>
        <v>Base Period &amp; True-Up Period 12 - Months Ending December 31, 2019</v>
      </c>
      <c r="C4" s="1655"/>
      <c r="D4" s="1655"/>
      <c r="E4" s="1655"/>
      <c r="F4" s="1655"/>
      <c r="G4" s="978"/>
      <c r="H4" s="162"/>
      <c r="I4" s="162"/>
      <c r="J4" s="162"/>
      <c r="K4" s="162"/>
    </row>
    <row r="5" spans="1:11">
      <c r="A5" s="978"/>
      <c r="B5" s="1656" t="s">
        <v>2</v>
      </c>
      <c r="C5" s="1656"/>
      <c r="D5" s="1656"/>
      <c r="E5" s="1656"/>
      <c r="F5" s="1656"/>
      <c r="G5" s="1184"/>
      <c r="H5" s="1193"/>
      <c r="I5" s="1193"/>
      <c r="J5" s="1193"/>
      <c r="K5" s="1193"/>
    </row>
    <row r="7" spans="1:11">
      <c r="A7" s="1235"/>
      <c r="B7" s="1236"/>
      <c r="C7" s="1237" t="str">
        <f>"12/31/"&amp;Automation!B3-1</f>
        <v>12/31/2018</v>
      </c>
      <c r="D7" s="1491" t="str">
        <f>"12/31/"&amp;Automation!B3</f>
        <v>12/31/2019</v>
      </c>
      <c r="E7" s="1358"/>
      <c r="F7" s="1238"/>
      <c r="G7" s="1239"/>
      <c r="H7" s="162"/>
      <c r="I7" s="162"/>
      <c r="J7" s="162"/>
      <c r="K7" s="162"/>
    </row>
    <row r="8" spans="1:11">
      <c r="A8" s="1235" t="s">
        <v>3</v>
      </c>
      <c r="B8" s="1240"/>
      <c r="C8" s="1241"/>
      <c r="D8" s="1242"/>
      <c r="E8" s="1243"/>
      <c r="F8" s="1244"/>
      <c r="G8" s="1239" t="s">
        <v>3</v>
      </c>
      <c r="H8" s="162"/>
      <c r="I8" s="162"/>
      <c r="J8" s="162"/>
      <c r="K8" s="162"/>
    </row>
    <row r="9" spans="1:11">
      <c r="A9" s="1235" t="s">
        <v>24</v>
      </c>
      <c r="B9" s="1245" t="s">
        <v>71</v>
      </c>
      <c r="C9" s="1246" t="s">
        <v>806</v>
      </c>
      <c r="D9" s="1246" t="s">
        <v>806</v>
      </c>
      <c r="E9" s="1247" t="s">
        <v>807</v>
      </c>
      <c r="F9" s="1248" t="s">
        <v>8</v>
      </c>
      <c r="G9" s="1239" t="s">
        <v>24</v>
      </c>
      <c r="H9" s="162"/>
      <c r="I9" s="162"/>
      <c r="J9" s="162"/>
      <c r="K9" s="162"/>
    </row>
    <row r="10" spans="1:11">
      <c r="A10" s="1235"/>
      <c r="B10" s="162"/>
      <c r="C10" s="1065"/>
      <c r="D10" s="1062"/>
      <c r="E10" s="1063"/>
      <c r="F10" s="703"/>
      <c r="G10" s="1239"/>
      <c r="H10" s="162"/>
      <c r="I10" s="162"/>
      <c r="J10" s="162"/>
      <c r="K10" s="162"/>
    </row>
    <row r="11" spans="1:11">
      <c r="A11" s="1235">
        <f t="shared" ref="A11:A16" si="0">A10+1</f>
        <v>1</v>
      </c>
      <c r="B11" s="1249" t="s">
        <v>294</v>
      </c>
      <c r="C11" s="1487">
        <v>0</v>
      </c>
      <c r="D11" s="1487">
        <v>-2872.3400080000001</v>
      </c>
      <c r="E11" s="1066">
        <f>AVERAGE(C11,D11)</f>
        <v>-1436.1700040000001</v>
      </c>
      <c r="F11" s="704" t="s">
        <v>1006</v>
      </c>
      <c r="G11" s="1239">
        <f t="shared" ref="G11:G16" si="1">G10+1</f>
        <v>1</v>
      </c>
      <c r="I11" s="1250"/>
    </row>
    <row r="12" spans="1:11">
      <c r="A12" s="1235">
        <f t="shared" si="0"/>
        <v>2</v>
      </c>
      <c r="B12" s="162"/>
      <c r="C12" s="1488"/>
      <c r="D12" s="1489"/>
      <c r="E12" s="1066"/>
      <c r="F12" s="704"/>
      <c r="G12" s="1239">
        <f t="shared" si="1"/>
        <v>2</v>
      </c>
    </row>
    <row r="13" spans="1:11">
      <c r="A13" s="1235">
        <f t="shared" si="0"/>
        <v>3</v>
      </c>
      <c r="B13" s="1249" t="s">
        <v>295</v>
      </c>
      <c r="C13" s="1490">
        <v>0</v>
      </c>
      <c r="D13" s="1490">
        <v>-933.20000799999991</v>
      </c>
      <c r="E13" s="460">
        <f>AVERAGE(C13,D13)</f>
        <v>-466.60000399999996</v>
      </c>
      <c r="F13" s="704" t="s">
        <v>415</v>
      </c>
      <c r="G13" s="1239">
        <f t="shared" si="1"/>
        <v>3</v>
      </c>
    </row>
    <row r="14" spans="1:11">
      <c r="A14" s="1235">
        <f t="shared" si="0"/>
        <v>4</v>
      </c>
      <c r="B14" s="162"/>
      <c r="C14" s="1065"/>
      <c r="D14" s="1062"/>
      <c r="E14" s="1063"/>
      <c r="F14" s="703"/>
      <c r="G14" s="1239">
        <f t="shared" si="1"/>
        <v>4</v>
      </c>
    </row>
    <row r="15" spans="1:11" ht="19.5" thickBot="1">
      <c r="A15" s="1235">
        <f t="shared" si="0"/>
        <v>5</v>
      </c>
      <c r="B15" s="1249" t="s">
        <v>777</v>
      </c>
      <c r="C15" s="1064">
        <f>SUM(C11-C13)</f>
        <v>0</v>
      </c>
      <c r="D15" s="1064">
        <f t="shared" ref="D15:E15" si="2">SUM(D11-D13)</f>
        <v>-1939.1400000000003</v>
      </c>
      <c r="E15" s="1064">
        <f t="shared" si="2"/>
        <v>-969.57000000000016</v>
      </c>
      <c r="F15" s="702" t="str">
        <f>"Line "&amp;A11&amp;" Minus Line "&amp;A13</f>
        <v>Line 1 Minus Line 3</v>
      </c>
      <c r="G15" s="1239">
        <f t="shared" si="1"/>
        <v>5</v>
      </c>
    </row>
    <row r="16" spans="1:11" ht="16.5" thickTop="1">
      <c r="A16" s="1235">
        <f t="shared" si="0"/>
        <v>6</v>
      </c>
      <c r="B16" s="1251"/>
      <c r="C16" s="1252"/>
      <c r="D16" s="1252"/>
      <c r="E16" s="1251"/>
      <c r="F16" s="1253"/>
      <c r="G16" s="1239">
        <f t="shared" si="1"/>
        <v>6</v>
      </c>
    </row>
    <row r="17" spans="1:9">
      <c r="A17" s="1254"/>
      <c r="B17" s="162"/>
      <c r="C17" s="162"/>
      <c r="D17" s="162"/>
      <c r="E17" s="162"/>
      <c r="F17" s="161"/>
      <c r="G17" s="1254"/>
    </row>
    <row r="18" spans="1:9">
      <c r="A18" s="1254"/>
      <c r="B18" s="162"/>
      <c r="C18" s="162"/>
      <c r="D18" s="162"/>
      <c r="E18" s="162"/>
      <c r="F18" s="161"/>
      <c r="G18" s="1254"/>
    </row>
    <row r="19" spans="1:9" ht="18.75">
      <c r="A19" s="1255">
        <v>1</v>
      </c>
      <c r="B19" s="1256" t="s">
        <v>1012</v>
      </c>
      <c r="C19" s="162"/>
      <c r="D19" s="162"/>
      <c r="E19" s="162"/>
      <c r="F19" s="161"/>
      <c r="G19" s="1254"/>
    </row>
    <row r="20" spans="1:9" ht="18.75">
      <c r="A20" s="979"/>
      <c r="B20" s="1567"/>
      <c r="C20" s="162"/>
      <c r="D20" s="162"/>
      <c r="E20" s="162"/>
      <c r="F20" s="161"/>
      <c r="G20" s="978"/>
    </row>
    <row r="21" spans="1:9">
      <c r="A21" s="978"/>
      <c r="B21" s="1568"/>
      <c r="C21" s="162"/>
      <c r="D21" s="162"/>
      <c r="E21" s="162"/>
      <c r="F21" s="161"/>
      <c r="G21" s="978"/>
    </row>
    <row r="22" spans="1:9">
      <c r="A22" s="978"/>
      <c r="B22" s="1249"/>
      <c r="C22" s="162"/>
      <c r="D22" s="162"/>
      <c r="E22" s="162"/>
      <c r="F22" s="161"/>
      <c r="G22" s="978"/>
    </row>
    <row r="23" spans="1:9">
      <c r="A23" s="978"/>
      <c r="B23" s="1249"/>
      <c r="C23" s="162"/>
      <c r="D23" s="162"/>
      <c r="E23" s="162"/>
      <c r="F23" s="161"/>
      <c r="G23" s="978"/>
    </row>
    <row r="26" spans="1:9">
      <c r="C26" s="1250"/>
    </row>
    <row r="27" spans="1:9">
      <c r="I27" s="162"/>
    </row>
    <row r="28" spans="1:9">
      <c r="I28" s="162"/>
    </row>
    <row r="29" spans="1:9">
      <c r="I29" s="162"/>
    </row>
    <row r="30" spans="1:9">
      <c r="I30" s="162"/>
    </row>
    <row r="31" spans="1:9">
      <c r="I31" s="162"/>
    </row>
    <row r="32" spans="1:9">
      <c r="I32" s="162"/>
    </row>
    <row r="33" spans="9:9">
      <c r="I33" s="162"/>
    </row>
    <row r="34" spans="9:9">
      <c r="I34" s="162"/>
    </row>
    <row r="35" spans="9:9">
      <c r="I35" s="162"/>
    </row>
    <row r="36" spans="9:9">
      <c r="I36" s="162"/>
    </row>
    <row r="37" spans="9:9">
      <c r="I37" s="162"/>
    </row>
    <row r="38" spans="9:9">
      <c r="I38" s="162"/>
    </row>
    <row r="39" spans="9:9">
      <c r="I39" s="162"/>
    </row>
    <row r="40" spans="9:9">
      <c r="I40" s="162"/>
    </row>
    <row r="41" spans="9:9">
      <c r="I41" s="162"/>
    </row>
    <row r="42" spans="9:9">
      <c r="I42" s="1257"/>
    </row>
    <row r="43" spans="9:9">
      <c r="I43" s="1257"/>
    </row>
    <row r="44" spans="9:9">
      <c r="I44" s="1257"/>
    </row>
    <row r="45" spans="9:9">
      <c r="I45" s="1257"/>
    </row>
    <row r="46" spans="9:9">
      <c r="I46" s="1257"/>
    </row>
    <row r="47" spans="9:9">
      <c r="I47" s="1257"/>
    </row>
    <row r="48" spans="9:9">
      <c r="I48" s="162"/>
    </row>
    <row r="49" spans="9:9">
      <c r="I49" s="162"/>
    </row>
    <row r="50" spans="9:9">
      <c r="I50" s="162"/>
    </row>
    <row r="51" spans="9:9">
      <c r="I51" s="162"/>
    </row>
    <row r="52" spans="9:9">
      <c r="I52" s="162"/>
    </row>
    <row r="53" spans="9:9">
      <c r="I53" s="162"/>
    </row>
    <row r="54" spans="9:9">
      <c r="I54" s="162"/>
    </row>
    <row r="55" spans="9:9">
      <c r="I55" s="162"/>
    </row>
    <row r="56" spans="9:9">
      <c r="I56" s="162"/>
    </row>
    <row r="57" spans="9:9">
      <c r="I57" s="162"/>
    </row>
    <row r="58" spans="9:9">
      <c r="I58" s="162"/>
    </row>
  </sheetData>
  <mergeCells count="4">
    <mergeCell ref="B2:F2"/>
    <mergeCell ref="B3:F3"/>
    <mergeCell ref="B4:F4"/>
    <mergeCell ref="B5:F5"/>
  </mergeCells>
  <printOptions horizontalCentered="1"/>
  <pageMargins left="0.5" right="0.5" top="0.5" bottom="0.5" header="0.25" footer="0.25"/>
  <pageSetup scale="93" orientation="landscape" r:id="rId1"/>
  <headerFooter scaleWithDoc="0">
    <oddFooter>&amp;C&amp;"Times New Roman,Regular"&amp;10&amp;A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I16"/>
  <sheetViews>
    <sheetView zoomScale="80" zoomScaleNormal="80" zoomScalePageLayoutView="80" workbookViewId="0">
      <selection activeCell="C7" sqref="C7"/>
    </sheetView>
  </sheetViews>
  <sheetFormatPr defaultColWidth="9.140625" defaultRowHeight="15.75"/>
  <cols>
    <col min="1" max="1" width="5.140625" style="587" customWidth="1"/>
    <col min="2" max="2" width="56" style="397" customWidth="1"/>
    <col min="3" max="3" width="24" style="397" customWidth="1"/>
    <col min="4" max="4" width="1.5703125" style="397" customWidth="1"/>
    <col min="5" max="5" width="16.85546875" style="397" customWidth="1"/>
    <col min="6" max="6" width="1.5703125" style="397" customWidth="1"/>
    <col min="7" max="7" width="34.5703125" style="397" customWidth="1"/>
    <col min="8" max="8" width="5.140625" style="397" customWidth="1"/>
    <col min="9" max="9" width="9.140625" style="397"/>
    <col min="10" max="10" width="20.42578125" style="397" bestFit="1" customWidth="1"/>
    <col min="11" max="16384" width="9.140625" style="397"/>
  </cols>
  <sheetData>
    <row r="1" spans="1:9">
      <c r="A1" s="583"/>
      <c r="E1" s="587"/>
      <c r="F1" s="587"/>
      <c r="G1" s="587"/>
      <c r="H1" s="583"/>
    </row>
    <row r="2" spans="1:9">
      <c r="A2" s="583"/>
      <c r="B2" s="1650" t="s">
        <v>17</v>
      </c>
      <c r="C2" s="1650"/>
      <c r="D2" s="1650"/>
      <c r="E2" s="1635"/>
      <c r="F2" s="1635"/>
      <c r="G2" s="1635"/>
      <c r="H2" s="583"/>
    </row>
    <row r="3" spans="1:9">
      <c r="A3" s="583"/>
      <c r="B3" s="1650" t="s">
        <v>1026</v>
      </c>
      <c r="C3" s="1650"/>
      <c r="D3" s="1650"/>
      <c r="E3" s="1635"/>
      <c r="F3" s="1635"/>
      <c r="G3" s="1635"/>
      <c r="H3" s="583"/>
    </row>
    <row r="4" spans="1:9">
      <c r="A4" s="583"/>
      <c r="B4" s="1650" t="s">
        <v>115</v>
      </c>
      <c r="C4" s="1650"/>
      <c r="D4" s="1650"/>
      <c r="E4" s="1635"/>
      <c r="F4" s="1635"/>
      <c r="G4" s="1635"/>
      <c r="H4" s="583"/>
    </row>
    <row r="5" spans="1:9">
      <c r="A5" s="583"/>
      <c r="B5" s="1651" t="str">
        <f>'A. Sec.1 - Direct Maintenance'!B5</f>
        <v>Base Period &amp; True-Up Period 12 - Months Ending December 31, 2019</v>
      </c>
      <c r="C5" s="1651"/>
      <c r="D5" s="1651"/>
      <c r="E5" s="1651"/>
      <c r="F5" s="1651"/>
      <c r="G5" s="1651"/>
      <c r="H5" s="583"/>
    </row>
    <row r="6" spans="1:9">
      <c r="A6" s="583"/>
      <c r="B6" s="1652" t="s">
        <v>2</v>
      </c>
      <c r="C6" s="1653"/>
      <c r="D6" s="1653"/>
      <c r="E6" s="1653"/>
      <c r="F6" s="1653"/>
      <c r="G6" s="1653"/>
      <c r="H6" s="583"/>
    </row>
    <row r="7" spans="1:9">
      <c r="A7" s="583"/>
      <c r="B7" s="583"/>
      <c r="C7" s="583"/>
      <c r="D7" s="583"/>
      <c r="E7" s="587"/>
      <c r="F7" s="587"/>
      <c r="G7" s="587"/>
      <c r="H7" s="583"/>
    </row>
    <row r="8" spans="1:9">
      <c r="A8" s="583" t="s">
        <v>3</v>
      </c>
      <c r="B8" s="664"/>
      <c r="C8" s="583" t="s">
        <v>472</v>
      </c>
      <c r="D8" s="664"/>
      <c r="E8" s="689"/>
      <c r="F8" s="587"/>
      <c r="G8" s="587"/>
      <c r="H8" s="583" t="s">
        <v>3</v>
      </c>
    </row>
    <row r="9" spans="1:9">
      <c r="A9" s="690" t="s">
        <v>24</v>
      </c>
      <c r="C9" s="585" t="s">
        <v>473</v>
      </c>
      <c r="E9" s="666" t="s">
        <v>7</v>
      </c>
      <c r="F9" s="664"/>
      <c r="G9" s="486" t="s">
        <v>8</v>
      </c>
      <c r="H9" s="690" t="s">
        <v>24</v>
      </c>
    </row>
    <row r="10" spans="1:9">
      <c r="A10" s="690"/>
      <c r="E10" s="583"/>
      <c r="F10" s="587"/>
      <c r="G10" s="587"/>
      <c r="H10" s="690"/>
    </row>
    <row r="11" spans="1:9" s="692" customFormat="1" ht="19.5" thickBot="1">
      <c r="A11" s="583">
        <v>1</v>
      </c>
      <c r="B11" s="117" t="s">
        <v>412</v>
      </c>
      <c r="C11" s="820" t="s">
        <v>570</v>
      </c>
      <c r="D11" s="397"/>
      <c r="E11" s="898">
        <f>'AG-1'!C31</f>
        <v>0</v>
      </c>
      <c r="F11" s="587"/>
      <c r="G11" s="587" t="str">
        <f>"AG-1; Line "&amp;'AG-1'!A31</f>
        <v>AG-1; Line 18</v>
      </c>
      <c r="H11" s="583">
        <f>A11</f>
        <v>1</v>
      </c>
      <c r="I11" s="397"/>
    </row>
    <row r="12" spans="1:9" s="692" customFormat="1" ht="16.5" thickTop="1">
      <c r="A12" s="583"/>
      <c r="B12" s="397"/>
      <c r="C12" s="587"/>
      <c r="D12" s="397"/>
      <c r="E12" s="631"/>
      <c r="F12" s="587"/>
      <c r="G12" s="587"/>
      <c r="H12" s="583"/>
      <c r="I12" s="397"/>
    </row>
    <row r="14" spans="1:9" ht="18.75">
      <c r="A14" s="633">
        <v>1</v>
      </c>
      <c r="B14" s="106" t="s">
        <v>116</v>
      </c>
    </row>
    <row r="15" spans="1:9" ht="18.75">
      <c r="A15" s="700"/>
      <c r="B15" s="701"/>
    </row>
    <row r="16" spans="1:9">
      <c r="A16" s="397"/>
      <c r="B16" s="913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5" orientation="portrait" r:id="rId1"/>
  <headerFooter scaleWithDoc="0">
    <oddFooter>&amp;C&amp;"Times New Roman,Regular"&amp;10AG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2:N35"/>
  <sheetViews>
    <sheetView zoomScale="80" zoomScaleNormal="80" workbookViewId="0">
      <selection activeCell="B7" sqref="B7:D7"/>
    </sheetView>
  </sheetViews>
  <sheetFormatPr defaultColWidth="8.85546875" defaultRowHeight="15.75"/>
  <cols>
    <col min="1" max="1" width="5.140625" style="187" customWidth="1"/>
    <col min="2" max="2" width="35.140625" style="227" customWidth="1"/>
    <col min="3" max="3" width="18.5703125" style="227" customWidth="1"/>
    <col min="4" max="4" width="62.5703125" style="227" customWidth="1"/>
    <col min="5" max="5" width="5.140625" style="919" customWidth="1"/>
    <col min="6" max="9" width="8.85546875" style="227"/>
    <col min="10" max="10" width="12.85546875" style="227" bestFit="1" customWidth="1"/>
    <col min="11" max="11" width="8.85546875" style="227"/>
    <col min="12" max="12" width="14" style="227" bestFit="1" customWidth="1"/>
    <col min="13" max="16384" width="8.85546875" style="227"/>
  </cols>
  <sheetData>
    <row r="2" spans="1:14" s="170" customFormat="1">
      <c r="A2" s="169"/>
      <c r="B2" s="1642" t="s">
        <v>17</v>
      </c>
      <c r="C2" s="1642"/>
      <c r="D2" s="1642"/>
      <c r="E2" s="915"/>
    </row>
    <row r="3" spans="1:14" s="170" customFormat="1">
      <c r="A3" s="169"/>
      <c r="B3" s="1642" t="s">
        <v>117</v>
      </c>
      <c r="C3" s="1642"/>
      <c r="D3" s="1642"/>
      <c r="E3" s="915"/>
    </row>
    <row r="4" spans="1:14" s="170" customFormat="1">
      <c r="A4" s="169"/>
      <c r="B4" s="1642" t="s">
        <v>118</v>
      </c>
      <c r="C4" s="1642"/>
      <c r="D4" s="1642"/>
      <c r="E4" s="915"/>
    </row>
    <row r="5" spans="1:14" s="170" customFormat="1">
      <c r="A5" s="169"/>
      <c r="B5" s="1642" t="s">
        <v>119</v>
      </c>
      <c r="C5" s="1642"/>
      <c r="D5" s="1642"/>
      <c r="E5" s="915"/>
    </row>
    <row r="6" spans="1:14" s="170" customFormat="1">
      <c r="A6" s="169"/>
      <c r="B6" s="1642" t="str">
        <f>"BASE PERIOD / TRUE UP PERIOD - 12/31/"&amp;Automation!$B$3</f>
        <v>BASE PERIOD / TRUE UP PERIOD - 12/31/2019</v>
      </c>
      <c r="C6" s="1642"/>
      <c r="D6" s="1642"/>
      <c r="E6" s="915"/>
    </row>
    <row r="7" spans="1:14" s="170" customFormat="1">
      <c r="A7" s="169"/>
      <c r="B7" s="1647" t="s">
        <v>2</v>
      </c>
      <c r="C7" s="1647"/>
      <c r="D7" s="1647"/>
      <c r="E7" s="915"/>
    </row>
    <row r="8" spans="1:14" s="170" customFormat="1">
      <c r="A8" s="169"/>
      <c r="B8" s="172"/>
      <c r="C8" s="172"/>
      <c r="D8" s="172"/>
      <c r="E8" s="915"/>
    </row>
    <row r="9" spans="1:14" s="170" customFormat="1">
      <c r="A9" s="169"/>
      <c r="B9" s="1642" t="s">
        <v>57</v>
      </c>
      <c r="C9" s="1642"/>
      <c r="D9" s="1642"/>
      <c r="E9" s="915"/>
    </row>
    <row r="10" spans="1:14">
      <c r="B10" s="407"/>
      <c r="C10" s="408"/>
      <c r="D10" s="408"/>
      <c r="H10" s="267"/>
      <c r="I10" s="267"/>
      <c r="J10" s="267"/>
      <c r="K10" s="267"/>
      <c r="L10" s="267"/>
      <c r="M10" s="267"/>
      <c r="N10" s="267"/>
    </row>
    <row r="11" spans="1:14">
      <c r="B11" s="179"/>
      <c r="C11" s="294" t="s">
        <v>58</v>
      </c>
      <c r="D11" s="245"/>
      <c r="H11" s="267"/>
      <c r="I11" s="267"/>
      <c r="J11" s="267"/>
      <c r="K11" s="267"/>
      <c r="L11" s="267"/>
      <c r="M11" s="267"/>
      <c r="N11" s="267"/>
    </row>
    <row r="12" spans="1:14">
      <c r="A12" s="187" t="s">
        <v>3</v>
      </c>
      <c r="B12" s="209"/>
      <c r="C12" s="182" t="s">
        <v>421</v>
      </c>
      <c r="D12" s="297"/>
      <c r="E12" s="919" t="s">
        <v>3</v>
      </c>
      <c r="H12" s="409"/>
      <c r="I12" s="409"/>
      <c r="J12" s="409"/>
      <c r="K12" s="409"/>
      <c r="L12" s="409"/>
      <c r="M12" s="409"/>
      <c r="N12" s="267"/>
    </row>
    <row r="13" spans="1:14">
      <c r="A13" s="187" t="s">
        <v>24</v>
      </c>
      <c r="B13" s="191" t="s">
        <v>22</v>
      </c>
      <c r="C13" s="372" t="s">
        <v>422</v>
      </c>
      <c r="D13" s="191" t="s">
        <v>8</v>
      </c>
      <c r="E13" s="919" t="s">
        <v>24</v>
      </c>
      <c r="H13" s="409"/>
      <c r="I13" s="206"/>
      <c r="J13" s="206"/>
      <c r="K13" s="183"/>
      <c r="L13" s="206"/>
      <c r="M13" s="409"/>
      <c r="N13" s="267"/>
    </row>
    <row r="14" spans="1:14">
      <c r="A14" s="187">
        <v>1</v>
      </c>
      <c r="B14" s="195" t="str">
        <f>"Dec-"&amp;RIGHT(Automation!$B$3-1,2)</f>
        <v>Dec-18</v>
      </c>
      <c r="C14" s="410">
        <v>0</v>
      </c>
      <c r="D14" s="872" t="s">
        <v>415</v>
      </c>
      <c r="E14" s="919">
        <f>A14</f>
        <v>1</v>
      </c>
      <c r="G14" s="411"/>
      <c r="H14" s="409"/>
      <c r="I14" s="183"/>
      <c r="J14" s="183"/>
      <c r="K14" s="183"/>
      <c r="L14" s="409"/>
      <c r="M14" s="409"/>
      <c r="N14" s="267"/>
    </row>
    <row r="15" spans="1:14">
      <c r="A15" s="187">
        <f>A14+1</f>
        <v>2</v>
      </c>
      <c r="B15" s="195" t="str">
        <f>"Jan-"&amp;RIGHT(Automation!$B$3,2)</f>
        <v>Jan-19</v>
      </c>
      <c r="C15" s="317">
        <v>0</v>
      </c>
      <c r="D15" s="317"/>
      <c r="E15" s="919">
        <f>E14+1</f>
        <v>2</v>
      </c>
      <c r="G15" s="411"/>
      <c r="H15" s="409"/>
      <c r="I15" s="183"/>
      <c r="J15" s="183"/>
      <c r="K15" s="183"/>
      <c r="L15" s="409"/>
      <c r="M15" s="409"/>
      <c r="N15" s="267"/>
    </row>
    <row r="16" spans="1:14">
      <c r="A16" s="187">
        <f t="shared" ref="A16:A32" si="0">A15+1</f>
        <v>3</v>
      </c>
      <c r="B16" s="195" t="s">
        <v>35</v>
      </c>
      <c r="C16" s="317">
        <v>0</v>
      </c>
      <c r="D16" s="317"/>
      <c r="E16" s="919">
        <f t="shared" ref="E16:E32" si="1">E15+1</f>
        <v>3</v>
      </c>
      <c r="G16" s="411"/>
      <c r="H16" s="409"/>
      <c r="I16" s="183"/>
      <c r="J16" s="183"/>
      <c r="K16" s="183"/>
      <c r="L16" s="409"/>
      <c r="M16" s="409"/>
      <c r="N16" s="267"/>
    </row>
    <row r="17" spans="1:14">
      <c r="A17" s="187">
        <f t="shared" si="0"/>
        <v>4</v>
      </c>
      <c r="B17" s="195" t="s">
        <v>36</v>
      </c>
      <c r="C17" s="317">
        <v>0</v>
      </c>
      <c r="D17" s="317"/>
      <c r="E17" s="919">
        <f t="shared" si="1"/>
        <v>4</v>
      </c>
      <c r="H17" s="409"/>
      <c r="I17" s="183"/>
      <c r="J17" s="412"/>
      <c r="K17" s="183"/>
      <c r="L17" s="409"/>
      <c r="M17" s="409"/>
      <c r="N17" s="267"/>
    </row>
    <row r="18" spans="1:14">
      <c r="A18" s="187">
        <f t="shared" si="0"/>
        <v>5</v>
      </c>
      <c r="B18" s="195" t="s">
        <v>37</v>
      </c>
      <c r="C18" s="317">
        <v>0</v>
      </c>
      <c r="D18" s="317"/>
      <c r="E18" s="919">
        <f t="shared" si="1"/>
        <v>5</v>
      </c>
      <c r="H18" s="409"/>
      <c r="I18" s="183"/>
      <c r="J18" s="412"/>
      <c r="K18" s="183"/>
      <c r="L18" s="409"/>
      <c r="M18" s="409"/>
      <c r="N18" s="267"/>
    </row>
    <row r="19" spans="1:14">
      <c r="A19" s="187">
        <f t="shared" si="0"/>
        <v>6</v>
      </c>
      <c r="B19" s="195" t="s">
        <v>38</v>
      </c>
      <c r="C19" s="317">
        <v>0</v>
      </c>
      <c r="D19" s="317"/>
      <c r="E19" s="919">
        <f t="shared" si="1"/>
        <v>6</v>
      </c>
      <c r="H19" s="409"/>
      <c r="I19" s="412"/>
      <c r="J19" s="412"/>
      <c r="K19" s="413"/>
      <c r="L19" s="414"/>
      <c r="M19" s="409"/>
      <c r="N19" s="267"/>
    </row>
    <row r="20" spans="1:14">
      <c r="A20" s="187">
        <f>A19+1</f>
        <v>7</v>
      </c>
      <c r="B20" s="195" t="s">
        <v>39</v>
      </c>
      <c r="C20" s="317">
        <v>0</v>
      </c>
      <c r="D20" s="317"/>
      <c r="E20" s="919">
        <f>E19+1</f>
        <v>7</v>
      </c>
      <c r="H20" s="409"/>
      <c r="I20" s="415"/>
      <c r="J20" s="416"/>
      <c r="K20" s="417"/>
      <c r="L20" s="418"/>
      <c r="M20" s="409"/>
      <c r="N20" s="267"/>
    </row>
    <row r="21" spans="1:14">
      <c r="A21" s="187">
        <f t="shared" si="0"/>
        <v>8</v>
      </c>
      <c r="B21" s="195" t="s">
        <v>40</v>
      </c>
      <c r="C21" s="317">
        <v>0</v>
      </c>
      <c r="D21" s="317"/>
      <c r="E21" s="919">
        <f t="shared" si="1"/>
        <v>8</v>
      </c>
      <c r="H21" s="409"/>
      <c r="I21" s="419"/>
      <c r="J21" s="419"/>
      <c r="K21" s="414"/>
      <c r="L21" s="414"/>
      <c r="M21" s="409"/>
      <c r="N21" s="267"/>
    </row>
    <row r="22" spans="1:14">
      <c r="A22" s="187">
        <f t="shared" si="0"/>
        <v>9</v>
      </c>
      <c r="B22" s="195" t="s">
        <v>41</v>
      </c>
      <c r="C22" s="317">
        <v>0</v>
      </c>
      <c r="D22" s="317"/>
      <c r="E22" s="919">
        <f t="shared" si="1"/>
        <v>9</v>
      </c>
      <c r="H22" s="409"/>
      <c r="I22" s="415"/>
      <c r="J22" s="416"/>
      <c r="K22" s="420"/>
      <c r="L22" s="418"/>
      <c r="M22" s="409"/>
      <c r="N22" s="267"/>
    </row>
    <row r="23" spans="1:14">
      <c r="A23" s="187">
        <f t="shared" si="0"/>
        <v>10</v>
      </c>
      <c r="B23" s="195" t="s">
        <v>42</v>
      </c>
      <c r="C23" s="317">
        <v>0</v>
      </c>
      <c r="D23" s="317"/>
      <c r="E23" s="919">
        <f t="shared" si="1"/>
        <v>10</v>
      </c>
      <c r="H23" s="409"/>
      <c r="I23" s="206"/>
      <c r="J23" s="206"/>
      <c r="K23" s="414"/>
      <c r="L23" s="414"/>
      <c r="M23" s="409"/>
      <c r="N23" s="267"/>
    </row>
    <row r="24" spans="1:14">
      <c r="A24" s="187">
        <f t="shared" si="0"/>
        <v>11</v>
      </c>
      <c r="B24" s="195" t="s">
        <v>43</v>
      </c>
      <c r="C24" s="317">
        <v>0</v>
      </c>
      <c r="D24" s="317"/>
      <c r="E24" s="919">
        <f t="shared" si="1"/>
        <v>11</v>
      </c>
      <c r="H24" s="409"/>
      <c r="I24" s="206"/>
      <c r="J24" s="206"/>
      <c r="K24" s="421"/>
      <c r="L24" s="422"/>
      <c r="M24" s="409"/>
      <c r="N24" s="267"/>
    </row>
    <row r="25" spans="1:14">
      <c r="A25" s="187">
        <f t="shared" si="0"/>
        <v>12</v>
      </c>
      <c r="B25" s="195" t="s">
        <v>44</v>
      </c>
      <c r="C25" s="317">
        <v>0</v>
      </c>
      <c r="D25" s="317"/>
      <c r="E25" s="919">
        <f t="shared" si="1"/>
        <v>12</v>
      </c>
      <c r="H25" s="409"/>
      <c r="I25" s="206"/>
      <c r="J25" s="206"/>
      <c r="K25" s="421"/>
      <c r="L25" s="422"/>
      <c r="M25" s="409"/>
      <c r="N25" s="267"/>
    </row>
    <row r="26" spans="1:14">
      <c r="A26" s="187">
        <f t="shared" si="0"/>
        <v>13</v>
      </c>
      <c r="B26" s="207" t="str">
        <f>"Dec-"&amp;RIGHT(Automation!$B$3,2)</f>
        <v>Dec-19</v>
      </c>
      <c r="C26" s="244">
        <v>0</v>
      </c>
      <c r="D26" s="348" t="s">
        <v>415</v>
      </c>
      <c r="E26" s="919">
        <f t="shared" si="1"/>
        <v>13</v>
      </c>
      <c r="H26" s="409"/>
      <c r="I26" s="206"/>
      <c r="J26" s="206"/>
      <c r="K26" s="423"/>
      <c r="L26" s="264"/>
      <c r="M26" s="409"/>
      <c r="N26" s="267"/>
    </row>
    <row r="27" spans="1:14">
      <c r="A27" s="187">
        <f t="shared" si="0"/>
        <v>14</v>
      </c>
      <c r="B27" s="209"/>
      <c r="C27" s="424"/>
      <c r="D27" s="424"/>
      <c r="E27" s="919">
        <f t="shared" si="1"/>
        <v>14</v>
      </c>
      <c r="H27" s="267"/>
      <c r="I27" s="267"/>
      <c r="J27" s="267"/>
      <c r="K27" s="267"/>
      <c r="L27" s="267"/>
      <c r="M27" s="267"/>
      <c r="N27" s="267"/>
    </row>
    <row r="28" spans="1:14">
      <c r="A28" s="187">
        <f t="shared" si="0"/>
        <v>15</v>
      </c>
      <c r="B28" s="209" t="s">
        <v>45</v>
      </c>
      <c r="C28" s="425">
        <f>SUM(C14:C26)</f>
        <v>0</v>
      </c>
      <c r="D28" s="860" t="str">
        <f>"Sum Lines "&amp;A14&amp;" thru "&amp;A26</f>
        <v>Sum Lines 1 thru 13</v>
      </c>
      <c r="E28" s="919">
        <f t="shared" si="1"/>
        <v>15</v>
      </c>
      <c r="H28" s="267"/>
      <c r="I28" s="267"/>
      <c r="J28" s="267"/>
      <c r="K28" s="267"/>
      <c r="L28" s="267"/>
      <c r="M28" s="267"/>
      <c r="N28" s="267"/>
    </row>
    <row r="29" spans="1:14">
      <c r="A29" s="187">
        <f t="shared" si="0"/>
        <v>16</v>
      </c>
      <c r="B29" s="216"/>
      <c r="C29" s="426"/>
      <c r="D29" s="244"/>
      <c r="E29" s="919">
        <f t="shared" si="1"/>
        <v>16</v>
      </c>
    </row>
    <row r="30" spans="1:14">
      <c r="A30" s="187">
        <f t="shared" si="0"/>
        <v>17</v>
      </c>
      <c r="B30" s="209"/>
      <c r="C30" s="427"/>
      <c r="D30" s="428"/>
      <c r="E30" s="919">
        <f t="shared" si="1"/>
        <v>17</v>
      </c>
    </row>
    <row r="31" spans="1:14">
      <c r="A31" s="187">
        <f t="shared" si="0"/>
        <v>18</v>
      </c>
      <c r="B31" s="209" t="s">
        <v>121</v>
      </c>
      <c r="C31" s="366">
        <f>C28/13</f>
        <v>0</v>
      </c>
      <c r="D31" s="891" t="s">
        <v>423</v>
      </c>
      <c r="E31" s="919">
        <f t="shared" si="1"/>
        <v>18</v>
      </c>
    </row>
    <row r="32" spans="1:14">
      <c r="A32" s="187">
        <f t="shared" si="0"/>
        <v>19</v>
      </c>
      <c r="B32" s="216"/>
      <c r="C32" s="369"/>
      <c r="D32" s="369"/>
      <c r="E32" s="919">
        <f t="shared" si="1"/>
        <v>19</v>
      </c>
    </row>
    <row r="34" spans="2:2">
      <c r="B34" s="429"/>
    </row>
    <row r="35" spans="2:2">
      <c r="B35" s="429"/>
    </row>
  </sheetData>
  <mergeCells count="7">
    <mergeCell ref="B7:D7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5EACE-4BE8-4058-B897-A1BA1BD93627}">
  <sheetPr>
    <pageSetUpPr fitToPage="1"/>
  </sheetPr>
  <dimension ref="A2:H25"/>
  <sheetViews>
    <sheetView zoomScale="80" zoomScaleNormal="80" zoomScaleSheetLayoutView="70" workbookViewId="0">
      <selection activeCell="C7" sqref="C7"/>
    </sheetView>
  </sheetViews>
  <sheetFormatPr defaultColWidth="9.140625" defaultRowHeight="15.75"/>
  <cols>
    <col min="1" max="1" width="5.140625" style="1338" customWidth="1"/>
    <col min="2" max="2" width="35.140625" style="1339" customWidth="1"/>
    <col min="3" max="4" width="18.5703125" style="176" customWidth="1"/>
    <col min="5" max="5" width="18.5703125" style="1339" customWidth="1"/>
    <col min="6" max="6" width="62.5703125" style="1339" customWidth="1"/>
    <col min="7" max="7" width="5.140625" style="1338" customWidth="1"/>
    <col min="8" max="8" width="24" style="1339" customWidth="1"/>
    <col min="9" max="9" width="11" style="1339" customWidth="1"/>
    <col min="10" max="10" width="7.140625" style="1339" customWidth="1"/>
    <col min="11" max="11" width="9.140625" style="1339" customWidth="1"/>
    <col min="12" max="12" width="14" style="1339" customWidth="1"/>
    <col min="13" max="13" width="13.42578125" style="1339" customWidth="1"/>
    <col min="14" max="16384" width="9.140625" style="1339"/>
  </cols>
  <sheetData>
    <row r="2" spans="1:8">
      <c r="B2" s="1642" t="s">
        <v>17</v>
      </c>
      <c r="C2" s="1642"/>
      <c r="D2" s="1642"/>
      <c r="E2" s="1642"/>
      <c r="F2" s="1642"/>
    </row>
    <row r="3" spans="1:8">
      <c r="B3" s="1642" t="s">
        <v>117</v>
      </c>
      <c r="C3" s="1642"/>
      <c r="D3" s="1642"/>
      <c r="E3" s="1642"/>
      <c r="F3" s="1642"/>
    </row>
    <row r="4" spans="1:8">
      <c r="B4" s="1642" t="s">
        <v>118</v>
      </c>
      <c r="C4" s="1642"/>
      <c r="D4" s="1642"/>
      <c r="E4" s="1642"/>
      <c r="F4" s="1642"/>
    </row>
    <row r="5" spans="1:8">
      <c r="B5" s="1657" t="str">
        <f>"BASE PERIOD / TRUE UP PERIOD - 12/31/"&amp;Automation!$B$3</f>
        <v>BASE PERIOD / TRUE UP PERIOD - 12/31/2019</v>
      </c>
      <c r="C5" s="1657"/>
      <c r="D5" s="1657"/>
      <c r="E5" s="1657"/>
      <c r="F5" s="1657"/>
    </row>
    <row r="6" spans="1:8">
      <c r="B6" s="1658" t="s">
        <v>2</v>
      </c>
      <c r="C6" s="1658"/>
      <c r="D6" s="1658"/>
      <c r="E6" s="1658"/>
      <c r="F6" s="1658"/>
    </row>
    <row r="8" spans="1:8">
      <c r="B8" s="179"/>
      <c r="C8" s="1359" t="s">
        <v>4</v>
      </c>
      <c r="D8" s="1360" t="s">
        <v>5</v>
      </c>
      <c r="E8" s="1360" t="s">
        <v>830</v>
      </c>
      <c r="F8" s="245"/>
    </row>
    <row r="9" spans="1:8">
      <c r="A9" s="1341"/>
      <c r="B9" s="182"/>
      <c r="C9" s="190" t="s">
        <v>137</v>
      </c>
      <c r="D9" s="190" t="s">
        <v>808</v>
      </c>
      <c r="E9" s="190" t="s">
        <v>809</v>
      </c>
      <c r="F9" s="884"/>
      <c r="G9" s="1341"/>
    </row>
    <row r="10" spans="1:8">
      <c r="A10" s="1341" t="s">
        <v>3</v>
      </c>
      <c r="B10" s="182" t="s">
        <v>810</v>
      </c>
      <c r="C10" s="190" t="s">
        <v>123</v>
      </c>
      <c r="D10" s="190" t="s">
        <v>123</v>
      </c>
      <c r="E10" s="190" t="s">
        <v>123</v>
      </c>
      <c r="F10" s="1361"/>
      <c r="G10" s="1341" t="s">
        <v>3</v>
      </c>
    </row>
    <row r="11" spans="1:8">
      <c r="A11" s="266" t="s">
        <v>24</v>
      </c>
      <c r="B11" s="191" t="s">
        <v>71</v>
      </c>
      <c r="C11" s="194" t="s">
        <v>811</v>
      </c>
      <c r="D11" s="191" t="s">
        <v>811</v>
      </c>
      <c r="E11" s="194" t="s">
        <v>811</v>
      </c>
      <c r="F11" s="191" t="s">
        <v>8</v>
      </c>
      <c r="G11" s="266" t="s">
        <v>24</v>
      </c>
    </row>
    <row r="12" spans="1:8">
      <c r="A12" s="1341">
        <v>1</v>
      </c>
      <c r="B12" s="1362"/>
      <c r="C12" s="1363">
        <v>0</v>
      </c>
      <c r="D12" s="1363">
        <f>E12-C12</f>
        <v>0</v>
      </c>
      <c r="E12" s="1364">
        <v>0</v>
      </c>
      <c r="F12" s="1365" t="s">
        <v>978</v>
      </c>
      <c r="G12" s="1341">
        <f>A12</f>
        <v>1</v>
      </c>
    </row>
    <row r="13" spans="1:8">
      <c r="A13" s="1341">
        <f>A12+1</f>
        <v>2</v>
      </c>
      <c r="B13" s="195"/>
      <c r="C13" s="316">
        <v>0</v>
      </c>
      <c r="D13" s="316">
        <v>0</v>
      </c>
      <c r="E13" s="317">
        <v>0</v>
      </c>
      <c r="F13" s="891"/>
      <c r="G13" s="1341">
        <f>G12+1</f>
        <v>2</v>
      </c>
      <c r="H13" s="231"/>
    </row>
    <row r="14" spans="1:8">
      <c r="A14" s="1341">
        <f t="shared" ref="A14:A17" si="0">A13+1</f>
        <v>3</v>
      </c>
      <c r="B14" s="1366"/>
      <c r="C14" s="244">
        <v>0</v>
      </c>
      <c r="D14" s="244">
        <v>0</v>
      </c>
      <c r="E14" s="244">
        <v>0</v>
      </c>
      <c r="F14" s="1366"/>
      <c r="G14" s="1341">
        <f t="shared" ref="G14:G17" si="1">G13+1</f>
        <v>3</v>
      </c>
    </row>
    <row r="15" spans="1:8">
      <c r="A15" s="1341">
        <f t="shared" si="0"/>
        <v>4</v>
      </c>
      <c r="B15" s="209"/>
      <c r="C15" s="237"/>
      <c r="D15" s="237"/>
      <c r="E15" s="237"/>
      <c r="F15" s="881"/>
      <c r="G15" s="1341">
        <f t="shared" si="1"/>
        <v>4</v>
      </c>
    </row>
    <row r="16" spans="1:8">
      <c r="A16" s="1341">
        <f t="shared" si="0"/>
        <v>5</v>
      </c>
      <c r="B16" s="209" t="s">
        <v>30</v>
      </c>
      <c r="C16" s="214">
        <f>SUM(C12:C14)</f>
        <v>0</v>
      </c>
      <c r="D16" s="214">
        <f>SUM(D12:D14)</f>
        <v>0</v>
      </c>
      <c r="E16" s="214">
        <f>SUM(E12:E14)</f>
        <v>0</v>
      </c>
      <c r="F16" s="872" t="str">
        <f>"Sum Lines "&amp;A12&amp;" thru "&amp;A14</f>
        <v>Sum Lines 1 thru 3</v>
      </c>
      <c r="G16" s="1341">
        <f t="shared" si="1"/>
        <v>5</v>
      </c>
    </row>
    <row r="17" spans="1:7">
      <c r="A17" s="1341">
        <f t="shared" si="0"/>
        <v>6</v>
      </c>
      <c r="B17" s="216"/>
      <c r="C17" s="217"/>
      <c r="D17" s="217"/>
      <c r="E17" s="217"/>
      <c r="F17" s="369"/>
      <c r="G17" s="1341">
        <f t="shared" si="1"/>
        <v>6</v>
      </c>
    </row>
    <row r="18" spans="1:7">
      <c r="A18" s="1341"/>
      <c r="B18" s="206"/>
      <c r="C18" s="731"/>
      <c r="D18" s="731"/>
      <c r="E18" s="731"/>
      <c r="F18" s="731"/>
      <c r="G18" s="1341"/>
    </row>
    <row r="19" spans="1:7">
      <c r="A19" s="1341"/>
      <c r="B19" s="206"/>
      <c r="C19" s="731"/>
      <c r="D19" s="731"/>
      <c r="E19" s="731"/>
      <c r="F19" s="731"/>
    </row>
    <row r="20" spans="1:7" ht="18.75">
      <c r="A20" s="226"/>
      <c r="B20" s="1367"/>
      <c r="C20" s="731"/>
      <c r="D20" s="731"/>
      <c r="E20" s="731"/>
      <c r="F20" s="731"/>
    </row>
    <row r="21" spans="1:7">
      <c r="B21" s="206"/>
      <c r="C21" s="731"/>
      <c r="D21" s="731"/>
      <c r="E21" s="731"/>
      <c r="F21" s="731"/>
    </row>
    <row r="22" spans="1:7">
      <c r="B22" s="287"/>
      <c r="C22" s="1368"/>
      <c r="D22" s="1368"/>
      <c r="E22" s="1368"/>
      <c r="F22" s="242"/>
      <c r="G22" s="975"/>
    </row>
    <row r="23" spans="1:7">
      <c r="B23" s="1340"/>
      <c r="C23" s="242"/>
      <c r="D23" s="1339"/>
      <c r="F23" s="242"/>
      <c r="G23" s="975"/>
    </row>
    <row r="24" spans="1:7">
      <c r="C24" s="242"/>
      <c r="D24" s="242"/>
      <c r="E24" s="242"/>
      <c r="F24" s="242"/>
      <c r="G24" s="975"/>
    </row>
    <row r="25" spans="1:7">
      <c r="C25" s="243"/>
      <c r="D25" s="243"/>
      <c r="E25" s="231"/>
      <c r="F25" s="231"/>
      <c r="G25" s="975"/>
    </row>
  </sheetData>
  <mergeCells count="5"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  <colBreaks count="1" manualBreakCount="1">
    <brk id="7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J72"/>
  <sheetViews>
    <sheetView zoomScale="80" zoomScaleNormal="80" zoomScalePageLayoutView="80" workbookViewId="0">
      <selection activeCell="J25" sqref="J25"/>
    </sheetView>
  </sheetViews>
  <sheetFormatPr defaultColWidth="8.85546875" defaultRowHeight="15.75"/>
  <cols>
    <col min="1" max="1" width="5.140625" style="587" bestFit="1" customWidth="1"/>
    <col min="2" max="2" width="80.5703125" style="397" customWidth="1"/>
    <col min="3" max="3" width="21.140625" style="397" customWidth="1"/>
    <col min="4" max="4" width="1.5703125" style="397" customWidth="1"/>
    <col min="5" max="5" width="16.85546875" style="397" customWidth="1"/>
    <col min="6" max="6" width="1.5703125" style="397" customWidth="1"/>
    <col min="7" max="7" width="53.85546875" style="762" customWidth="1"/>
    <col min="8" max="8" width="5.140625" style="397" customWidth="1"/>
    <col min="9" max="9" width="8.85546875" style="397"/>
    <col min="10" max="10" width="20.42578125" style="397" bestFit="1" customWidth="1"/>
    <col min="11" max="16384" width="8.85546875" style="397"/>
  </cols>
  <sheetData>
    <row r="1" spans="1:8">
      <c r="A1" s="583"/>
      <c r="G1" s="753"/>
      <c r="H1" s="583"/>
    </row>
    <row r="2" spans="1:8">
      <c r="B2" s="1650" t="s">
        <v>17</v>
      </c>
      <c r="C2" s="1650"/>
      <c r="D2" s="1650"/>
      <c r="E2" s="1650"/>
      <c r="F2" s="1650"/>
      <c r="G2" s="1635"/>
      <c r="H2" s="587"/>
    </row>
    <row r="3" spans="1:8">
      <c r="B3" s="1650" t="s">
        <v>1027</v>
      </c>
      <c r="C3" s="1650"/>
      <c r="D3" s="1650"/>
      <c r="E3" s="1650"/>
      <c r="F3" s="1650"/>
      <c r="G3" s="1635"/>
      <c r="H3" s="587"/>
    </row>
    <row r="4" spans="1:8">
      <c r="B4" s="1650" t="s">
        <v>122</v>
      </c>
      <c r="C4" s="1650"/>
      <c r="D4" s="1650"/>
      <c r="E4" s="1650"/>
      <c r="F4" s="1650"/>
      <c r="G4" s="1635"/>
      <c r="H4" s="587"/>
    </row>
    <row r="5" spans="1:8">
      <c r="B5" s="1651" t="str">
        <f>'A. Sec.1 - Direct Maintenance'!B5</f>
        <v>Base Period &amp; True-Up Period 12 - Months Ending December 31, 2019</v>
      </c>
      <c r="C5" s="1651"/>
      <c r="D5" s="1651"/>
      <c r="E5" s="1651"/>
      <c r="F5" s="1651"/>
      <c r="G5" s="1651"/>
      <c r="H5" s="587"/>
    </row>
    <row r="6" spans="1:8">
      <c r="B6" s="1652" t="s">
        <v>2</v>
      </c>
      <c r="C6" s="1653"/>
      <c r="D6" s="1653"/>
      <c r="E6" s="1653"/>
      <c r="F6" s="1653"/>
      <c r="G6" s="1653"/>
      <c r="H6" s="587"/>
    </row>
    <row r="7" spans="1:8">
      <c r="B7" s="583"/>
      <c r="C7" s="583"/>
      <c r="D7" s="583"/>
      <c r="E7" s="754"/>
      <c r="F7" s="754"/>
      <c r="G7" s="753"/>
      <c r="H7" s="587"/>
    </row>
    <row r="8" spans="1:8">
      <c r="A8" s="587" t="s">
        <v>3</v>
      </c>
      <c r="B8" s="1188"/>
      <c r="C8" s="583" t="s">
        <v>472</v>
      </c>
      <c r="D8" s="1188"/>
      <c r="E8" s="755"/>
      <c r="F8" s="755"/>
      <c r="G8" s="753"/>
      <c r="H8" s="587" t="s">
        <v>3</v>
      </c>
    </row>
    <row r="9" spans="1:8">
      <c r="A9" s="690" t="s">
        <v>24</v>
      </c>
      <c r="C9" s="585" t="s">
        <v>473</v>
      </c>
      <c r="D9" s="1188"/>
      <c r="E9" s="666" t="s">
        <v>123</v>
      </c>
      <c r="F9" s="755"/>
      <c r="G9" s="756" t="s">
        <v>8</v>
      </c>
      <c r="H9" s="690" t="s">
        <v>24</v>
      </c>
    </row>
    <row r="10" spans="1:8">
      <c r="A10" s="690"/>
      <c r="C10" s="1188"/>
      <c r="D10" s="1188"/>
      <c r="E10" s="757"/>
      <c r="F10" s="757"/>
      <c r="G10" s="758"/>
      <c r="H10" s="690"/>
    </row>
    <row r="11" spans="1:8">
      <c r="A11" s="583">
        <v>1</v>
      </c>
      <c r="B11" s="25" t="s">
        <v>499</v>
      </c>
      <c r="C11" s="1188"/>
      <c r="D11" s="1188"/>
      <c r="E11" s="757"/>
      <c r="F11" s="757"/>
      <c r="G11" s="758"/>
      <c r="H11" s="690">
        <f>A11</f>
        <v>1</v>
      </c>
    </row>
    <row r="12" spans="1:8">
      <c r="A12" s="583">
        <f>+A11+1</f>
        <v>2</v>
      </c>
      <c r="B12" s="106" t="s">
        <v>269</v>
      </c>
      <c r="C12" s="1188"/>
      <c r="D12" s="1188"/>
      <c r="E12" s="711">
        <f>'AH-1'!D56</f>
        <v>0</v>
      </c>
      <c r="F12" s="757"/>
      <c r="G12" s="758" t="str">
        <f>"AH-1; Line "&amp;'AH-1'!A56</f>
        <v>AH-1; Line 48</v>
      </c>
      <c r="H12" s="690">
        <f>H11+1</f>
        <v>2</v>
      </c>
    </row>
    <row r="13" spans="1:8">
      <c r="A13" s="583">
        <f t="shared" ref="A13:A68" si="0">+A12+1</f>
        <v>3</v>
      </c>
      <c r="C13" s="1188"/>
      <c r="D13" s="1188"/>
      <c r="E13" s="757"/>
      <c r="F13" s="757"/>
      <c r="G13" s="758"/>
      <c r="H13" s="690">
        <f t="shared" ref="H13:H68" si="1">H12+1</f>
        <v>3</v>
      </c>
    </row>
    <row r="14" spans="1:8">
      <c r="A14" s="583">
        <f t="shared" si="0"/>
        <v>4</v>
      </c>
      <c r="B14" s="25" t="s">
        <v>500</v>
      </c>
      <c r="G14" s="753"/>
      <c r="H14" s="690">
        <f t="shared" si="1"/>
        <v>4</v>
      </c>
    </row>
    <row r="15" spans="1:8">
      <c r="A15" s="583">
        <f t="shared" si="0"/>
        <v>5</v>
      </c>
      <c r="B15" s="93" t="s">
        <v>557</v>
      </c>
      <c r="C15" s="820"/>
      <c r="E15" s="711">
        <f>'AH-2'!D47</f>
        <v>96482.821710000004</v>
      </c>
      <c r="G15" s="753" t="str">
        <f>"AH-2; Line "&amp;'AH-2'!A47&amp;"; Col. a"</f>
        <v>AH-2; Line 37; Col. a</v>
      </c>
      <c r="H15" s="690">
        <f t="shared" si="1"/>
        <v>5</v>
      </c>
    </row>
    <row r="16" spans="1:8">
      <c r="A16" s="583">
        <f t="shared" si="0"/>
        <v>6</v>
      </c>
      <c r="B16" s="8" t="s">
        <v>558</v>
      </c>
      <c r="E16" s="630"/>
      <c r="G16" s="753"/>
      <c r="H16" s="690">
        <f t="shared" si="1"/>
        <v>6</v>
      </c>
    </row>
    <row r="17" spans="1:10">
      <c r="A17" s="583">
        <f t="shared" si="0"/>
        <v>7</v>
      </c>
      <c r="B17" s="93" t="s">
        <v>852</v>
      </c>
      <c r="C17" s="587"/>
      <c r="D17" s="665"/>
      <c r="E17" s="589">
        <f>-'AH-2'!E52</f>
        <v>-5093.2442599999995</v>
      </c>
      <c r="G17" s="753" t="str">
        <f>"Negative of AH-2; Line "&amp;'AH-2'!A52&amp;"; Col. b"</f>
        <v>Negative of AH-2; Line 42; Col. b</v>
      </c>
      <c r="H17" s="690">
        <f t="shared" si="1"/>
        <v>7</v>
      </c>
    </row>
    <row r="18" spans="1:10">
      <c r="A18" s="583">
        <f t="shared" si="0"/>
        <v>8</v>
      </c>
      <c r="B18" s="93" t="s">
        <v>853</v>
      </c>
      <c r="C18" s="665"/>
      <c r="E18" s="589">
        <f>-'AH-2'!E53</f>
        <v>-2418.7412800000002</v>
      </c>
      <c r="G18" s="753" t="str">
        <f>"Negative of AH-2; Line "&amp;'AH-2'!A53&amp;"; Col. b"</f>
        <v>Negative of AH-2; Line 43; Col. b</v>
      </c>
      <c r="H18" s="690">
        <f t="shared" si="1"/>
        <v>8</v>
      </c>
    </row>
    <row r="19" spans="1:10">
      <c r="A19" s="583">
        <f t="shared" si="0"/>
        <v>9</v>
      </c>
      <c r="B19" s="22" t="s">
        <v>854</v>
      </c>
      <c r="E19" s="589">
        <f>-'AH-2'!E54</f>
        <v>-6283.7089999999998</v>
      </c>
      <c r="G19" s="753" t="str">
        <f>"Negative of AH-2; Line "&amp;'AH-2'!A54&amp;"; Col. b"</f>
        <v>Negative of AH-2; Line 44; Col. b</v>
      </c>
      <c r="H19" s="690">
        <f t="shared" si="1"/>
        <v>9</v>
      </c>
    </row>
    <row r="20" spans="1:10">
      <c r="A20" s="583">
        <f t="shared" si="0"/>
        <v>10</v>
      </c>
      <c r="B20" s="22" t="s">
        <v>855</v>
      </c>
      <c r="E20" s="589">
        <f>-'AH-2'!E55</f>
        <v>-8316.0300000000007</v>
      </c>
      <c r="G20" s="753" t="str">
        <f>"Negative of AH-2; Line "&amp;'AH-2'!A55&amp;"; Col. b"</f>
        <v>Negative of AH-2; Line 45; Col. b</v>
      </c>
      <c r="H20" s="690">
        <f t="shared" si="1"/>
        <v>10</v>
      </c>
    </row>
    <row r="21" spans="1:10">
      <c r="A21" s="583">
        <f t="shared" si="0"/>
        <v>11</v>
      </c>
      <c r="B21" s="93" t="s">
        <v>857</v>
      </c>
      <c r="E21" s="589">
        <f>-'AH-2'!E56</f>
        <v>0</v>
      </c>
      <c r="G21" s="753" t="str">
        <f>"Negative of AH-2; Line "&amp;'AH-2'!A56&amp;"; Col. b"</f>
        <v>Negative of AH-2; Line 46; Col. b</v>
      </c>
      <c r="H21" s="690">
        <f t="shared" si="1"/>
        <v>11</v>
      </c>
    </row>
    <row r="22" spans="1:10">
      <c r="A22" s="583">
        <f t="shared" si="0"/>
        <v>12</v>
      </c>
      <c r="B22" s="93" t="s">
        <v>856</v>
      </c>
      <c r="E22" s="589">
        <f>-'AH-2'!E62</f>
        <v>-3186.0456599999998</v>
      </c>
      <c r="G22" s="753" t="str">
        <f>"Negative of AH-2; Line "&amp;'AH-2'!A62&amp;"; Col. b"</f>
        <v>Negative of AH-2; Line 52; Col. b</v>
      </c>
      <c r="H22" s="690">
        <f t="shared" si="1"/>
        <v>12</v>
      </c>
    </row>
    <row r="23" spans="1:10">
      <c r="A23" s="583">
        <f t="shared" si="0"/>
        <v>13</v>
      </c>
      <c r="B23" s="22" t="s">
        <v>858</v>
      </c>
      <c r="E23" s="589">
        <f>-'AH-2'!E63</f>
        <v>-16048.173000000001</v>
      </c>
      <c r="G23" s="753" t="str">
        <f>"Negative of AH-2; Line "&amp;'AH-2'!A63&amp;"; Col. b"</f>
        <v>Negative of AH-2; Line 53; Col. b</v>
      </c>
      <c r="H23" s="690">
        <f t="shared" si="1"/>
        <v>13</v>
      </c>
    </row>
    <row r="24" spans="1:10">
      <c r="A24" s="583">
        <f t="shared" si="0"/>
        <v>14</v>
      </c>
      <c r="B24" s="22" t="s">
        <v>859</v>
      </c>
      <c r="E24" s="589">
        <f>-'AH-2'!E64</f>
        <v>-18139.88</v>
      </c>
      <c r="G24" s="753" t="str">
        <f>"Negative of AH-2; Line "&amp;'AH-2'!A64&amp;"; Col. b"</f>
        <v>Negative of AH-2; Line 54; Col. b</v>
      </c>
      <c r="H24" s="690">
        <f t="shared" si="1"/>
        <v>14</v>
      </c>
    </row>
    <row r="25" spans="1:10">
      <c r="A25" s="583">
        <f t="shared" si="0"/>
        <v>15</v>
      </c>
      <c r="B25" s="22" t="s">
        <v>860</v>
      </c>
      <c r="E25" s="589">
        <f>-'AH-2'!E65</f>
        <v>-720.00900000000001</v>
      </c>
      <c r="G25" s="753" t="str">
        <f>"Negative of AH-2; Line "&amp;'AH-2'!A65&amp;"; Col. b"</f>
        <v>Negative of AH-2; Line 55; Col. b</v>
      </c>
      <c r="H25" s="690">
        <f t="shared" si="1"/>
        <v>15</v>
      </c>
    </row>
    <row r="26" spans="1:10">
      <c r="A26" s="583">
        <f t="shared" si="0"/>
        <v>16</v>
      </c>
      <c r="B26" s="93" t="s">
        <v>559</v>
      </c>
      <c r="E26" s="597">
        <f>-'AH-2'!E51</f>
        <v>-132.11562000000001</v>
      </c>
      <c r="G26" s="587" t="s">
        <v>1035</v>
      </c>
      <c r="H26" s="690">
        <f t="shared" si="1"/>
        <v>16</v>
      </c>
    </row>
    <row r="27" spans="1:10">
      <c r="A27" s="583">
        <f t="shared" si="0"/>
        <v>17</v>
      </c>
      <c r="B27" s="4" t="s">
        <v>560</v>
      </c>
      <c r="E27" s="760">
        <f>SUM(E15:E26)</f>
        <v>36144.87389000001</v>
      </c>
      <c r="G27" s="761" t="str">
        <f>"Sum Lines "&amp;A15&amp;" thru "&amp;A26</f>
        <v>Sum Lines 5 thru 16</v>
      </c>
      <c r="H27" s="690">
        <f t="shared" si="1"/>
        <v>17</v>
      </c>
    </row>
    <row r="28" spans="1:10">
      <c r="A28" s="583">
        <f t="shared" si="0"/>
        <v>18</v>
      </c>
      <c r="E28" s="290"/>
      <c r="H28" s="690">
        <f t="shared" si="1"/>
        <v>18</v>
      </c>
    </row>
    <row r="29" spans="1:10">
      <c r="A29" s="583">
        <f t="shared" si="0"/>
        <v>19</v>
      </c>
      <c r="B29" s="26" t="s">
        <v>501</v>
      </c>
      <c r="C29" s="665"/>
      <c r="D29" s="665"/>
      <c r="E29" s="763"/>
      <c r="G29" s="753"/>
      <c r="H29" s="690">
        <f t="shared" si="1"/>
        <v>19</v>
      </c>
    </row>
    <row r="30" spans="1:10">
      <c r="A30" s="583">
        <f t="shared" si="0"/>
        <v>20</v>
      </c>
      <c r="B30" s="8" t="s">
        <v>561</v>
      </c>
      <c r="C30" s="820"/>
      <c r="D30" s="665"/>
      <c r="E30" s="711">
        <f>'AH-3'!D30</f>
        <v>498407.32565000001</v>
      </c>
      <c r="G30" s="753" t="str">
        <f>"AH-3; Line "&amp;'AH-3'!A30&amp;"; Col. a"</f>
        <v>AH-3; Line 20; Col. a</v>
      </c>
      <c r="H30" s="690">
        <f t="shared" si="1"/>
        <v>20</v>
      </c>
      <c r="I30" s="694"/>
    </row>
    <row r="31" spans="1:10">
      <c r="A31" s="583">
        <f t="shared" si="0"/>
        <v>21</v>
      </c>
      <c r="B31" s="8" t="s">
        <v>562</v>
      </c>
      <c r="C31" s="665"/>
      <c r="D31" s="665"/>
      <c r="E31" s="763" t="s">
        <v>9</v>
      </c>
      <c r="G31" s="753"/>
      <c r="H31" s="690">
        <f t="shared" si="1"/>
        <v>21</v>
      </c>
      <c r="I31" s="694"/>
    </row>
    <row r="32" spans="1:10">
      <c r="A32" s="583">
        <f t="shared" si="0"/>
        <v>22</v>
      </c>
      <c r="B32" s="701" t="s">
        <v>980</v>
      </c>
      <c r="E32" s="589">
        <f>-'AH-3'!D51</f>
        <v>-576.97162999999989</v>
      </c>
      <c r="G32" s="820" t="s">
        <v>1022</v>
      </c>
      <c r="H32" s="690">
        <f t="shared" si="1"/>
        <v>22</v>
      </c>
      <c r="I32" s="1258"/>
      <c r="J32" s="764"/>
    </row>
    <row r="33" spans="1:10" ht="31.5">
      <c r="A33" s="583">
        <f t="shared" si="0"/>
        <v>23</v>
      </c>
      <c r="B33" s="701" t="s">
        <v>865</v>
      </c>
      <c r="C33" s="665"/>
      <c r="D33" s="665"/>
      <c r="E33" s="589">
        <f>-('AH-3'!E34+'AH-3'!E35+'AH-3'!D37+'AH-3'!D38+'AH-3'!D41+'AH-3'!D44+'AH-3'!D50+'AH-3'!D53)</f>
        <v>-2631.6195512479999</v>
      </c>
      <c r="G33" s="1592" t="s">
        <v>988</v>
      </c>
      <c r="H33" s="690">
        <f t="shared" si="1"/>
        <v>23</v>
      </c>
      <c r="I33" s="1258"/>
      <c r="J33" s="764"/>
    </row>
    <row r="34" spans="1:10">
      <c r="A34" s="583">
        <f t="shared" si="0"/>
        <v>24</v>
      </c>
      <c r="B34" s="701" t="s">
        <v>487</v>
      </c>
      <c r="C34" s="665"/>
      <c r="D34" s="665"/>
      <c r="E34" s="589">
        <f>-'AH-3'!D45</f>
        <v>0</v>
      </c>
      <c r="G34" s="820" t="s">
        <v>989</v>
      </c>
      <c r="H34" s="690">
        <f t="shared" si="1"/>
        <v>24</v>
      </c>
      <c r="I34" s="694"/>
    </row>
    <row r="35" spans="1:10">
      <c r="A35" s="583">
        <f t="shared" si="0"/>
        <v>25</v>
      </c>
      <c r="B35" s="701" t="s">
        <v>861</v>
      </c>
      <c r="C35" s="665"/>
      <c r="E35" s="589">
        <f>-'AH-3'!D46</f>
        <v>-1212.49029</v>
      </c>
      <c r="G35" s="820" t="s">
        <v>990</v>
      </c>
      <c r="H35" s="690">
        <f t="shared" si="1"/>
        <v>25</v>
      </c>
      <c r="I35" s="694"/>
      <c r="J35" s="764"/>
    </row>
    <row r="36" spans="1:10" s="1566" customFormat="1">
      <c r="A36" s="583">
        <f t="shared" si="0"/>
        <v>26</v>
      </c>
      <c r="B36" s="701" t="s">
        <v>862</v>
      </c>
      <c r="C36" s="665"/>
      <c r="E36" s="589">
        <f>-'AH-3'!D47</f>
        <v>-9790.5481500000005</v>
      </c>
      <c r="G36" s="820" t="s">
        <v>987</v>
      </c>
      <c r="H36" s="690">
        <f t="shared" si="1"/>
        <v>26</v>
      </c>
      <c r="I36" s="694"/>
      <c r="J36" s="764"/>
    </row>
    <row r="37" spans="1:10" s="1566" customFormat="1">
      <c r="A37" s="583">
        <f t="shared" si="0"/>
        <v>27</v>
      </c>
      <c r="B37" s="701" t="s">
        <v>981</v>
      </c>
      <c r="C37" s="665"/>
      <c r="E37" s="589">
        <f>-'AH-3'!D39</f>
        <v>0</v>
      </c>
      <c r="G37" s="1592" t="s">
        <v>991</v>
      </c>
      <c r="H37" s="690">
        <f t="shared" si="1"/>
        <v>27</v>
      </c>
      <c r="I37" s="694"/>
      <c r="J37" s="764"/>
    </row>
    <row r="38" spans="1:10">
      <c r="A38" s="583">
        <f t="shared" si="0"/>
        <v>28</v>
      </c>
      <c r="B38" s="701" t="s">
        <v>864</v>
      </c>
      <c r="C38" s="665"/>
      <c r="D38" s="665"/>
      <c r="E38" s="589">
        <f>-'AH-3'!E49</f>
        <v>-112.52861999999999</v>
      </c>
      <c r="G38" s="1592" t="s">
        <v>992</v>
      </c>
      <c r="H38" s="690">
        <f t="shared" si="1"/>
        <v>28</v>
      </c>
      <c r="I38" s="1258"/>
    </row>
    <row r="39" spans="1:10">
      <c r="A39" s="583">
        <f t="shared" si="0"/>
        <v>29</v>
      </c>
      <c r="B39" s="701" t="s">
        <v>982</v>
      </c>
      <c r="C39" s="665"/>
      <c r="D39" s="665"/>
      <c r="E39" s="589">
        <f>-'AH-3'!E43</f>
        <v>-127615.79129000001</v>
      </c>
      <c r="G39" s="820" t="s">
        <v>986</v>
      </c>
      <c r="H39" s="690">
        <f t="shared" si="1"/>
        <v>29</v>
      </c>
      <c r="I39" s="1258"/>
      <c r="J39" s="764"/>
    </row>
    <row r="40" spans="1:10">
      <c r="A40" s="583">
        <f t="shared" si="0"/>
        <v>30</v>
      </c>
      <c r="B40" s="701" t="s">
        <v>866</v>
      </c>
      <c r="C40" s="665"/>
      <c r="D40" s="665"/>
      <c r="E40" s="589">
        <f>-'AH-3'!D52</f>
        <v>-39.414587415</v>
      </c>
      <c r="G40" s="1592" t="s">
        <v>985</v>
      </c>
      <c r="H40" s="690">
        <f t="shared" si="1"/>
        <v>30</v>
      </c>
      <c r="I40" s="694"/>
    </row>
    <row r="41" spans="1:10">
      <c r="A41" s="583">
        <f t="shared" si="0"/>
        <v>31</v>
      </c>
      <c r="B41" s="701" t="s">
        <v>863</v>
      </c>
      <c r="E41" s="589">
        <f>-('AH-3'!D36+'AH-3'!D48)</f>
        <v>-205.81998999999999</v>
      </c>
      <c r="G41" s="1592" t="s">
        <v>984</v>
      </c>
      <c r="H41" s="690">
        <f t="shared" si="1"/>
        <v>31</v>
      </c>
      <c r="I41" s="694"/>
    </row>
    <row r="42" spans="1:10">
      <c r="A42" s="583">
        <f t="shared" si="0"/>
        <v>32</v>
      </c>
      <c r="B42" s="701" t="s">
        <v>867</v>
      </c>
      <c r="C42" s="665"/>
      <c r="D42" s="665"/>
      <c r="E42" s="590">
        <f>-('AH-3'!D40+'AH-3'!D42)</f>
        <v>-250.33335</v>
      </c>
      <c r="G42" s="1592" t="s">
        <v>983</v>
      </c>
      <c r="H42" s="690">
        <f t="shared" si="1"/>
        <v>32</v>
      </c>
      <c r="I42" s="694"/>
    </row>
    <row r="43" spans="1:10">
      <c r="A43" s="583">
        <f t="shared" si="0"/>
        <v>33</v>
      </c>
      <c r="B43" s="8" t="s">
        <v>564</v>
      </c>
      <c r="C43" s="665"/>
      <c r="E43" s="766">
        <f>SUM(E30:E42)</f>
        <v>355971.8081913371</v>
      </c>
      <c r="G43" s="753" t="str">
        <f>"Sum Lines "&amp;A30&amp;" thru "&amp;A42</f>
        <v>Sum Lines 20 thru 32</v>
      </c>
      <c r="H43" s="690">
        <f t="shared" si="1"/>
        <v>33</v>
      </c>
      <c r="I43" s="694"/>
    </row>
    <row r="44" spans="1:10">
      <c r="A44" s="583">
        <f t="shared" si="0"/>
        <v>34</v>
      </c>
      <c r="B44" s="8" t="s">
        <v>567</v>
      </c>
      <c r="C44" s="665"/>
      <c r="E44" s="590">
        <f>-'AH-3'!F15</f>
        <v>-8305.6217899999992</v>
      </c>
      <c r="G44" s="753" t="str">
        <f>"Negative of AH-3; Line "&amp;'AH-3'!A15&amp;"; Col. c"</f>
        <v>Negative of AH-3; Line 5; Col. c</v>
      </c>
      <c r="H44" s="690">
        <f t="shared" si="1"/>
        <v>34</v>
      </c>
      <c r="I44" s="694"/>
    </row>
    <row r="45" spans="1:10">
      <c r="A45" s="583">
        <f t="shared" si="0"/>
        <v>35</v>
      </c>
      <c r="B45" s="8" t="s">
        <v>563</v>
      </c>
      <c r="C45" s="665"/>
      <c r="E45" s="766">
        <f>SUM(E43:E44)</f>
        <v>347666.18640133709</v>
      </c>
      <c r="G45" s="753" t="str">
        <f>"Line "&amp;A43&amp;" + Line "&amp;A44</f>
        <v>Line 33 + Line 34</v>
      </c>
      <c r="H45" s="690">
        <f t="shared" si="1"/>
        <v>35</v>
      </c>
    </row>
    <row r="46" spans="1:10">
      <c r="A46" s="583">
        <f t="shared" si="0"/>
        <v>36</v>
      </c>
      <c r="B46" s="4" t="s">
        <v>11</v>
      </c>
      <c r="C46" s="665"/>
      <c r="D46" s="665"/>
      <c r="E46" s="767">
        <f>'Stmt AI'!E27</f>
        <v>0.10143191236945187</v>
      </c>
      <c r="G46" s="761" t="str">
        <f>"Statement AI; Line "&amp;'Stmt AI'!A27</f>
        <v>Statement AI; Line 17</v>
      </c>
      <c r="H46" s="690">
        <f t="shared" si="1"/>
        <v>36</v>
      </c>
    </row>
    <row r="47" spans="1:10">
      <c r="A47" s="583">
        <f t="shared" si="0"/>
        <v>37</v>
      </c>
      <c r="B47" s="8" t="s">
        <v>565</v>
      </c>
      <c r="C47" s="665"/>
      <c r="D47" s="665"/>
      <c r="E47" s="768">
        <f>E45*E46</f>
        <v>35264.446152881945</v>
      </c>
      <c r="G47" s="753" t="str">
        <f>"Line "&amp;A45&amp;" x Line "&amp;A46</f>
        <v>Line 35 x Line 36</v>
      </c>
      <c r="H47" s="690">
        <f t="shared" si="1"/>
        <v>37</v>
      </c>
    </row>
    <row r="48" spans="1:10">
      <c r="A48" s="583">
        <f t="shared" si="0"/>
        <v>38</v>
      </c>
      <c r="B48" s="694" t="s">
        <v>134</v>
      </c>
      <c r="C48" s="665"/>
      <c r="D48" s="665"/>
      <c r="E48" s="769">
        <f>E68*(-E44)</f>
        <v>3307.281683578949</v>
      </c>
      <c r="G48" s="753" t="str">
        <f>"Negative of Line "&amp;A44&amp;" x Line "&amp;A68</f>
        <v>Negative of Line 34 x Line 58</v>
      </c>
      <c r="H48" s="690">
        <f t="shared" si="1"/>
        <v>38</v>
      </c>
    </row>
    <row r="49" spans="1:9" ht="16.5" thickBot="1">
      <c r="A49" s="583">
        <f t="shared" si="0"/>
        <v>39</v>
      </c>
      <c r="B49" s="765" t="s">
        <v>566</v>
      </c>
      <c r="C49" s="665"/>
      <c r="D49" s="665"/>
      <c r="E49" s="788">
        <f>E48+E47</f>
        <v>38571.727836460894</v>
      </c>
      <c r="G49" s="753" t="str">
        <f>"Line "&amp;A47&amp;" + Line "&amp;A48</f>
        <v>Line 37 + Line 38</v>
      </c>
      <c r="H49" s="690">
        <f t="shared" si="1"/>
        <v>39</v>
      </c>
      <c r="I49" s="701"/>
    </row>
    <row r="50" spans="1:9" ht="16.5" thickTop="1">
      <c r="A50" s="583">
        <f t="shared" si="0"/>
        <v>40</v>
      </c>
      <c r="B50" s="770"/>
      <c r="C50" s="665"/>
      <c r="D50" s="665"/>
      <c r="E50" s="771"/>
      <c r="G50" s="753"/>
      <c r="H50" s="690">
        <f t="shared" si="1"/>
        <v>40</v>
      </c>
    </row>
    <row r="51" spans="1:9">
      <c r="A51" s="583">
        <f t="shared" si="0"/>
        <v>41</v>
      </c>
      <c r="B51" s="9" t="s">
        <v>124</v>
      </c>
      <c r="C51" s="665"/>
      <c r="D51" s="665"/>
      <c r="E51" s="772"/>
      <c r="G51" s="753"/>
      <c r="H51" s="690">
        <f t="shared" si="1"/>
        <v>41</v>
      </c>
    </row>
    <row r="52" spans="1:9">
      <c r="A52" s="583">
        <f t="shared" si="0"/>
        <v>42</v>
      </c>
      <c r="B52" s="8" t="s">
        <v>902</v>
      </c>
      <c r="C52" s="665"/>
      <c r="D52" s="665"/>
      <c r="E52" s="773">
        <f>'Stmt AD'!I35</f>
        <v>6197907.0110930772</v>
      </c>
      <c r="G52" s="774" t="str">
        <f>"Statement AD; Line "&amp;'Stmt AD'!A35</f>
        <v>Statement AD; Line 25</v>
      </c>
      <c r="H52" s="690">
        <f t="shared" si="1"/>
        <v>42</v>
      </c>
    </row>
    <row r="53" spans="1:9">
      <c r="A53" s="583">
        <f t="shared" si="0"/>
        <v>43</v>
      </c>
      <c r="B53" s="8" t="s">
        <v>12</v>
      </c>
      <c r="C53" s="665"/>
      <c r="D53" s="665"/>
      <c r="E53" s="775">
        <v>0</v>
      </c>
      <c r="G53" s="774" t="s">
        <v>125</v>
      </c>
      <c r="H53" s="690">
        <f t="shared" si="1"/>
        <v>43</v>
      </c>
    </row>
    <row r="54" spans="1:9">
      <c r="A54" s="583">
        <f t="shared" si="0"/>
        <v>44</v>
      </c>
      <c r="B54" s="8" t="s">
        <v>13</v>
      </c>
      <c r="C54" s="665"/>
      <c r="D54" s="665"/>
      <c r="E54" s="776">
        <f>'Stmt AD'!I39</f>
        <v>46899.099622544018</v>
      </c>
      <c r="G54" s="777" t="str">
        <f>"Statement AD; Line "&amp;'Stmt AD'!A39</f>
        <v>Statement AD; Line 29</v>
      </c>
      <c r="H54" s="690">
        <f t="shared" si="1"/>
        <v>44</v>
      </c>
    </row>
    <row r="55" spans="1:9">
      <c r="A55" s="583">
        <f t="shared" si="0"/>
        <v>45</v>
      </c>
      <c r="B55" s="8" t="s">
        <v>14</v>
      </c>
      <c r="C55" s="665"/>
      <c r="D55" s="665"/>
      <c r="E55" s="778">
        <f>'Stmt AD'!I41</f>
        <v>105080.18864726061</v>
      </c>
      <c r="G55" s="777" t="str">
        <f>"Statement AD; Line "&amp;'Stmt AD'!A41</f>
        <v>Statement AD; Line 31</v>
      </c>
      <c r="H55" s="690">
        <f t="shared" si="1"/>
        <v>45</v>
      </c>
    </row>
    <row r="56" spans="1:9" ht="16.5" thickBot="1">
      <c r="A56" s="583">
        <f t="shared" si="0"/>
        <v>46</v>
      </c>
      <c r="B56" s="8" t="s">
        <v>126</v>
      </c>
      <c r="C56" s="665"/>
      <c r="D56" s="665"/>
      <c r="E56" s="779">
        <f>SUM(E52:E55)</f>
        <v>6349886.299362882</v>
      </c>
      <c r="G56" s="753" t="str">
        <f>"Sum Lines "&amp;A52&amp;" thru "&amp;A55</f>
        <v>Sum Lines 42 thru 45</v>
      </c>
      <c r="H56" s="690">
        <f t="shared" si="1"/>
        <v>46</v>
      </c>
      <c r="I56" s="701"/>
    </row>
    <row r="57" spans="1:9" ht="16.5" thickTop="1">
      <c r="A57" s="583">
        <f t="shared" si="0"/>
        <v>47</v>
      </c>
      <c r="B57" s="770"/>
      <c r="C57" s="665"/>
      <c r="D57" s="665"/>
      <c r="E57" s="290"/>
      <c r="G57" s="753"/>
      <c r="H57" s="690">
        <f t="shared" si="1"/>
        <v>47</v>
      </c>
    </row>
    <row r="58" spans="1:9">
      <c r="A58" s="583">
        <f t="shared" si="0"/>
        <v>48</v>
      </c>
      <c r="B58" s="8" t="s">
        <v>885</v>
      </c>
      <c r="C58" s="665"/>
      <c r="D58" s="665"/>
      <c r="E58" s="780">
        <f>E52</f>
        <v>6197907.0110930772</v>
      </c>
      <c r="G58" s="611" t="str">
        <f>"Line "&amp;A52&amp;" Above"</f>
        <v>Line 42 Above</v>
      </c>
      <c r="H58" s="690">
        <f t="shared" si="1"/>
        <v>48</v>
      </c>
    </row>
    <row r="59" spans="1:9">
      <c r="A59" s="583">
        <f t="shared" si="0"/>
        <v>49</v>
      </c>
      <c r="B59" s="8" t="s">
        <v>127</v>
      </c>
      <c r="C59" s="665"/>
      <c r="D59" s="665"/>
      <c r="E59" s="781">
        <f>'Stmt AD'!I11</f>
        <v>549685.71425000008</v>
      </c>
      <c r="G59" s="777" t="str">
        <f>"Statement AD; Line "&amp;'Stmt AD'!A11</f>
        <v>Statement AD; Line 1</v>
      </c>
      <c r="H59" s="690">
        <f t="shared" si="1"/>
        <v>49</v>
      </c>
    </row>
    <row r="60" spans="1:9">
      <c r="A60" s="583">
        <f t="shared" si="0"/>
        <v>50</v>
      </c>
      <c r="B60" s="8" t="s">
        <v>128</v>
      </c>
      <c r="C60" s="665"/>
      <c r="D60" s="665"/>
      <c r="E60" s="775">
        <v>0</v>
      </c>
      <c r="G60" s="774" t="s">
        <v>125</v>
      </c>
      <c r="H60" s="690">
        <f t="shared" si="1"/>
        <v>50</v>
      </c>
    </row>
    <row r="61" spans="1:9">
      <c r="A61" s="583">
        <f t="shared" si="0"/>
        <v>51</v>
      </c>
      <c r="B61" s="8" t="s">
        <v>129</v>
      </c>
      <c r="C61" s="665"/>
      <c r="D61" s="665"/>
      <c r="E61" s="781">
        <f>'Stmt AD'!I17</f>
        <v>523339.62325846136</v>
      </c>
      <c r="G61" s="777" t="str">
        <f>"Statement AD; Line "&amp;'Stmt AD'!A17</f>
        <v>Statement AD; Line 7</v>
      </c>
      <c r="H61" s="690">
        <f t="shared" si="1"/>
        <v>51</v>
      </c>
    </row>
    <row r="62" spans="1:9">
      <c r="A62" s="583">
        <f t="shared" si="0"/>
        <v>52</v>
      </c>
      <c r="B62" s="8" t="s">
        <v>130</v>
      </c>
      <c r="C62" s="665"/>
      <c r="D62" s="665"/>
      <c r="E62" s="781">
        <f>'Stmt AD'!I19</f>
        <v>7177286.0903050005</v>
      </c>
      <c r="G62" s="777" t="str">
        <f>"Statement AD; Line "&amp;'Stmt AD'!A19</f>
        <v>Statement AD; Line 9</v>
      </c>
      <c r="H62" s="690">
        <f t="shared" si="1"/>
        <v>52</v>
      </c>
    </row>
    <row r="63" spans="1:9">
      <c r="A63" s="583">
        <f t="shared" si="0"/>
        <v>53</v>
      </c>
      <c r="B63" s="765" t="s">
        <v>12</v>
      </c>
      <c r="C63" s="665"/>
      <c r="D63" s="665"/>
      <c r="E63" s="775">
        <v>0</v>
      </c>
      <c r="G63" s="774" t="s">
        <v>125</v>
      </c>
      <c r="H63" s="690">
        <f t="shared" si="1"/>
        <v>53</v>
      </c>
    </row>
    <row r="64" spans="1:9">
      <c r="A64" s="583">
        <f t="shared" si="0"/>
        <v>54</v>
      </c>
      <c r="B64" s="8" t="s">
        <v>131</v>
      </c>
      <c r="C64" s="665"/>
      <c r="D64" s="665"/>
      <c r="E64" s="781">
        <f>'Stmt AD'!I27</f>
        <v>462370.25928999996</v>
      </c>
      <c r="G64" s="777" t="str">
        <f>"Statement AD; Line "&amp;'Stmt AD'!A27</f>
        <v>Statement AD; Line 17</v>
      </c>
      <c r="H64" s="690">
        <f t="shared" si="1"/>
        <v>54</v>
      </c>
    </row>
    <row r="65" spans="1:9">
      <c r="A65" s="583">
        <f t="shared" si="0"/>
        <v>55</v>
      </c>
      <c r="B65" s="8" t="s">
        <v>132</v>
      </c>
      <c r="C65" s="665"/>
      <c r="D65" s="665"/>
      <c r="E65" s="782">
        <f>'Stmt AD'!I29</f>
        <v>1035967.7363128124</v>
      </c>
      <c r="G65" s="777" t="str">
        <f>"Statement AD; Line "&amp;'Stmt AD'!A29</f>
        <v>Statement AD; Line 19</v>
      </c>
      <c r="H65" s="690">
        <f t="shared" si="1"/>
        <v>55</v>
      </c>
    </row>
    <row r="66" spans="1:9" ht="16.5" thickBot="1">
      <c r="A66" s="583">
        <f t="shared" si="0"/>
        <v>56</v>
      </c>
      <c r="B66" s="8" t="s">
        <v>133</v>
      </c>
      <c r="C66" s="665"/>
      <c r="D66" s="665"/>
      <c r="E66" s="783">
        <f>SUM(E58:E65)</f>
        <v>15946556.434509352</v>
      </c>
      <c r="G66" s="753" t="str">
        <f>"Sum Lines "&amp;A58&amp;" thru "&amp;A65</f>
        <v>Sum Lines 48 thru 55</v>
      </c>
      <c r="H66" s="690">
        <f t="shared" si="1"/>
        <v>56</v>
      </c>
      <c r="I66" s="701"/>
    </row>
    <row r="67" spans="1:9" ht="16.5" thickTop="1">
      <c r="A67" s="583">
        <f t="shared" si="0"/>
        <v>57</v>
      </c>
      <c r="C67" s="665"/>
      <c r="D67" s="665"/>
      <c r="E67" s="784"/>
      <c r="G67" s="753"/>
      <c r="H67" s="690">
        <f t="shared" si="1"/>
        <v>57</v>
      </c>
    </row>
    <row r="68" spans="1:9" ht="19.5" thickBot="1">
      <c r="A68" s="583">
        <f t="shared" si="0"/>
        <v>58</v>
      </c>
      <c r="B68" s="8" t="s">
        <v>881</v>
      </c>
      <c r="C68" s="665"/>
      <c r="D68" s="665"/>
      <c r="E68" s="785">
        <f>E56/E66</f>
        <v>0.39819796364444732</v>
      </c>
      <c r="G68" s="753" t="str">
        <f>"Line "&amp;A56&amp;" / Line "&amp;A66</f>
        <v>Line 46 / Line 56</v>
      </c>
      <c r="H68" s="690">
        <f t="shared" si="1"/>
        <v>58</v>
      </c>
      <c r="I68" s="701"/>
    </row>
    <row r="69" spans="1:9" ht="16.5" thickTop="1">
      <c r="A69" s="583"/>
      <c r="B69" s="705" t="s">
        <v>9</v>
      </c>
      <c r="C69" s="665"/>
      <c r="D69" s="665"/>
      <c r="E69" s="786"/>
      <c r="G69" s="753"/>
      <c r="H69" s="583"/>
    </row>
    <row r="70" spans="1:9">
      <c r="A70" s="583"/>
      <c r="B70" s="8"/>
      <c r="C70" s="665"/>
      <c r="D70" s="665"/>
      <c r="E70" s="786"/>
      <c r="F70" s="786"/>
      <c r="G70" s="753"/>
      <c r="H70" s="583"/>
    </row>
    <row r="71" spans="1:9" ht="18.75">
      <c r="A71" s="787">
        <v>1</v>
      </c>
      <c r="B71" s="8" t="str">
        <f>"Used to allocate property insurance in conformance with the TO"&amp;Automation!B1&amp;" Formula Rate Mechanism."</f>
        <v>Used to allocate property insurance in conformance with the TO5 Formula Rate Mechanism.</v>
      </c>
      <c r="H71" s="583"/>
    </row>
    <row r="72" spans="1:9">
      <c r="A72" s="583"/>
      <c r="B72" s="705"/>
      <c r="C72" s="665"/>
      <c r="D72" s="665"/>
      <c r="E72" s="784"/>
      <c r="F72" s="784"/>
      <c r="G72" s="753"/>
      <c r="H72" s="583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Roman,Regular"&amp;10AH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46"/>
  <sheetViews>
    <sheetView zoomScale="80" zoomScaleNormal="80" zoomScaleSheetLayoutView="80" zoomScalePageLayoutView="50" workbookViewId="0">
      <selection activeCell="C7" sqref="C7"/>
    </sheetView>
  </sheetViews>
  <sheetFormatPr defaultColWidth="8.85546875" defaultRowHeight="15.75"/>
  <cols>
    <col min="1" max="1" width="5.140625" style="587" customWidth="1"/>
    <col min="2" max="2" width="78.140625" style="4" bestFit="1" customWidth="1"/>
    <col min="3" max="3" width="16.85546875" style="4" customWidth="1"/>
    <col min="4" max="4" width="1.85546875" style="4" customWidth="1"/>
    <col min="5" max="5" width="16.85546875" style="4" customWidth="1"/>
    <col min="6" max="6" width="1.85546875" style="4" customWidth="1"/>
    <col min="7" max="7" width="16.85546875" style="4" customWidth="1"/>
    <col min="8" max="8" width="1.5703125" style="4" customWidth="1"/>
    <col min="9" max="9" width="46.140625" style="4" customWidth="1"/>
    <col min="10" max="10" width="5.140625" style="587" customWidth="1"/>
    <col min="11" max="16384" width="8.85546875" style="4"/>
  </cols>
  <sheetData>
    <row r="1" spans="1:10">
      <c r="A1" s="959"/>
      <c r="B1" s="90"/>
      <c r="C1" s="90"/>
      <c r="D1" s="90"/>
      <c r="E1" s="90"/>
      <c r="F1" s="90"/>
      <c r="G1" s="90"/>
      <c r="H1" s="90"/>
      <c r="I1" s="1180"/>
      <c r="J1" s="959"/>
    </row>
    <row r="2" spans="1:10">
      <c r="A2" s="959"/>
      <c r="B2" s="1625" t="str">
        <f>'Summary of Cost Components'!B2:D2</f>
        <v>SAN DIEGO GAS &amp; ELECTRIC COMPANY</v>
      </c>
      <c r="C2" s="1625"/>
      <c r="D2" s="1625"/>
      <c r="E2" s="1625"/>
      <c r="F2" s="1625"/>
      <c r="G2" s="1625"/>
      <c r="H2" s="1625"/>
      <c r="I2" s="1625"/>
      <c r="J2" s="959"/>
    </row>
    <row r="3" spans="1:10">
      <c r="B3" s="1625" t="str">
        <f>'Summary of Cost Components'!B3:D3</f>
        <v>CITIZENS' SHARE OF THE SX-PQ UNDERGROUND LINE SEGMENT</v>
      </c>
      <c r="C3" s="1625"/>
      <c r="D3" s="1625"/>
      <c r="E3" s="1625"/>
      <c r="F3" s="1625"/>
      <c r="G3" s="1625"/>
      <c r="H3" s="1625"/>
      <c r="I3" s="1625"/>
      <c r="J3" s="963"/>
    </row>
    <row r="4" spans="1:10">
      <c r="B4" s="1625" t="s">
        <v>276</v>
      </c>
      <c r="C4" s="1625"/>
      <c r="D4" s="1625"/>
      <c r="E4" s="1625"/>
      <c r="F4" s="1625"/>
      <c r="G4" s="1625"/>
      <c r="H4" s="1625"/>
      <c r="I4" s="1625"/>
      <c r="J4" s="963"/>
    </row>
    <row r="5" spans="1:10">
      <c r="B5" s="1632" t="str">
        <f>'A. Sec.1 - Direct Maintenance'!B5</f>
        <v>Base Period &amp; True-Up Period 12 - Months Ending December 31, 2019</v>
      </c>
      <c r="C5" s="1632"/>
      <c r="D5" s="1632"/>
      <c r="E5" s="1632"/>
      <c r="F5" s="1632"/>
      <c r="G5" s="1632"/>
      <c r="H5" s="1632"/>
      <c r="I5" s="1632"/>
      <c r="J5" s="963"/>
    </row>
    <row r="6" spans="1:10">
      <c r="B6" s="1627" t="s">
        <v>2</v>
      </c>
      <c r="C6" s="1627"/>
      <c r="D6" s="1627"/>
      <c r="E6" s="1627"/>
      <c r="F6" s="1627"/>
      <c r="G6" s="1627"/>
      <c r="H6" s="1627"/>
      <c r="I6" s="1627"/>
      <c r="J6" s="965"/>
    </row>
    <row r="7" spans="1:10">
      <c r="B7" s="1342"/>
      <c r="C7" s="1342"/>
      <c r="D7" s="1342"/>
      <c r="E7" s="1342"/>
      <c r="F7" s="1342"/>
      <c r="G7" s="1342"/>
      <c r="H7" s="1342"/>
      <c r="I7" s="1342"/>
      <c r="J7" s="965"/>
    </row>
    <row r="8" spans="1:10">
      <c r="A8" s="959"/>
      <c r="B8" s="90"/>
      <c r="C8" s="657" t="s">
        <v>4</v>
      </c>
      <c r="D8" s="90"/>
      <c r="E8" s="657" t="s">
        <v>5</v>
      </c>
      <c r="F8" s="74"/>
      <c r="G8" s="657" t="s">
        <v>550</v>
      </c>
      <c r="H8" s="90"/>
      <c r="I8" s="90"/>
      <c r="J8" s="959"/>
    </row>
    <row r="9" spans="1:10">
      <c r="A9" s="959" t="s">
        <v>3</v>
      </c>
      <c r="B9" s="90"/>
      <c r="C9" s="68" t="s">
        <v>30</v>
      </c>
      <c r="D9" s="90"/>
      <c r="E9" s="68" t="s">
        <v>206</v>
      </c>
      <c r="F9" s="90"/>
      <c r="G9" s="90"/>
      <c r="H9" s="90"/>
      <c r="I9" s="90"/>
      <c r="J9" s="959" t="s">
        <v>3</v>
      </c>
    </row>
    <row r="10" spans="1:10">
      <c r="A10" s="962" t="s">
        <v>24</v>
      </c>
      <c r="B10" s="90"/>
      <c r="C10" s="938" t="s">
        <v>289</v>
      </c>
      <c r="D10" s="90"/>
      <c r="E10" s="938" t="s">
        <v>691</v>
      </c>
      <c r="F10" s="90"/>
      <c r="G10" s="938" t="s">
        <v>123</v>
      </c>
      <c r="H10" s="90"/>
      <c r="I10" s="938" t="s">
        <v>8</v>
      </c>
      <c r="J10" s="962" t="s">
        <v>24</v>
      </c>
    </row>
    <row r="11" spans="1:10">
      <c r="A11" s="962"/>
      <c r="B11" s="90"/>
      <c r="C11" s="90"/>
      <c r="D11" s="90"/>
      <c r="E11" s="90"/>
      <c r="F11" s="90"/>
      <c r="G11" s="77"/>
      <c r="H11" s="90"/>
      <c r="I11" s="77"/>
      <c r="J11" s="962"/>
    </row>
    <row r="12" spans="1:10">
      <c r="A12" s="962">
        <v>1</v>
      </c>
      <c r="B12" s="70" t="s">
        <v>286</v>
      </c>
      <c r="C12" s="90"/>
      <c r="D12" s="90"/>
      <c r="E12" s="90"/>
      <c r="F12" s="90"/>
      <c r="G12" s="90"/>
      <c r="H12" s="90"/>
      <c r="I12" s="1180"/>
      <c r="J12" s="959">
        <f>A12</f>
        <v>1</v>
      </c>
    </row>
    <row r="13" spans="1:10">
      <c r="A13" s="959">
        <f>A12+1</f>
        <v>2</v>
      </c>
      <c r="B13" s="90"/>
      <c r="C13" s="90"/>
      <c r="D13" s="90"/>
      <c r="E13" s="90"/>
      <c r="F13" s="90"/>
      <c r="G13" s="90"/>
      <c r="H13" s="90"/>
      <c r="I13" s="90"/>
      <c r="J13" s="959">
        <f>J12+1</f>
        <v>2</v>
      </c>
    </row>
    <row r="14" spans="1:10">
      <c r="A14" s="959">
        <f t="shared" ref="A14:A42" si="0">A13+1</f>
        <v>3</v>
      </c>
      <c r="B14" s="648" t="s">
        <v>1017</v>
      </c>
      <c r="C14" s="90"/>
      <c r="D14" s="90"/>
      <c r="E14" s="90"/>
      <c r="F14" s="90"/>
      <c r="G14" s="1426">
        <f>'AF-3'!E15</f>
        <v>-969.57000000000016</v>
      </c>
      <c r="H14" s="932"/>
      <c r="I14" s="52" t="s">
        <v>1004</v>
      </c>
      <c r="J14" s="959">
        <f t="shared" ref="J14:J42" si="1">J13+1</f>
        <v>3</v>
      </c>
    </row>
    <row r="15" spans="1:10">
      <c r="A15" s="959">
        <f t="shared" si="0"/>
        <v>4</v>
      </c>
      <c r="B15" s="648"/>
      <c r="C15" s="90"/>
      <c r="D15" s="90"/>
      <c r="E15" s="90"/>
      <c r="F15" s="90"/>
      <c r="G15" s="1372"/>
      <c r="H15" s="90"/>
      <c r="I15" s="90"/>
      <c r="J15" s="959">
        <f t="shared" si="1"/>
        <v>4</v>
      </c>
    </row>
    <row r="16" spans="1:10">
      <c r="A16" s="959">
        <f t="shared" si="0"/>
        <v>5</v>
      </c>
      <c r="B16" s="648" t="s">
        <v>818</v>
      </c>
      <c r="C16" s="90"/>
      <c r="D16" s="90"/>
      <c r="E16" s="90"/>
      <c r="F16" s="90"/>
      <c r="G16" s="1401">
        <f>'Stmt AV'!G110</f>
        <v>0.10404975937221624</v>
      </c>
      <c r="H16" s="90"/>
      <c r="I16" s="33" t="str">
        <f>"Statement AV2; Line "&amp;'Stmt AV'!A110</f>
        <v>Statement AV2; Line 31</v>
      </c>
      <c r="J16" s="959">
        <f t="shared" si="1"/>
        <v>5</v>
      </c>
    </row>
    <row r="17" spans="1:10">
      <c r="A17" s="959">
        <f t="shared" si="0"/>
        <v>6</v>
      </c>
      <c r="B17" s="648"/>
      <c r="C17" s="90"/>
      <c r="D17" s="90"/>
      <c r="E17" s="90"/>
      <c r="F17" s="90"/>
      <c r="G17" s="1049"/>
      <c r="H17" s="90"/>
      <c r="I17" s="68"/>
      <c r="J17" s="959">
        <f t="shared" si="1"/>
        <v>6</v>
      </c>
    </row>
    <row r="18" spans="1:10">
      <c r="A18" s="959">
        <f t="shared" si="0"/>
        <v>7</v>
      </c>
      <c r="B18" s="648" t="s">
        <v>879</v>
      </c>
      <c r="C18" s="90"/>
      <c r="D18" s="90"/>
      <c r="E18" s="90"/>
      <c r="F18" s="90"/>
      <c r="G18" s="1388">
        <f>G14*G16</f>
        <v>-100.88352519451971</v>
      </c>
      <c r="H18" s="71"/>
      <c r="I18" s="68" t="str">
        <f>"Line "&amp;A14&amp;" x Line "&amp;A16</f>
        <v>Line 3 x Line 5</v>
      </c>
      <c r="J18" s="959">
        <f t="shared" si="1"/>
        <v>7</v>
      </c>
    </row>
    <row r="19" spans="1:10">
      <c r="A19" s="959">
        <f t="shared" si="0"/>
        <v>8</v>
      </c>
      <c r="B19" s="648"/>
      <c r="C19" s="90"/>
      <c r="D19" s="90"/>
      <c r="E19" s="90"/>
      <c r="F19" s="90"/>
      <c r="G19" s="1389"/>
      <c r="H19" s="73"/>
      <c r="I19" s="90"/>
      <c r="J19" s="959">
        <f t="shared" si="1"/>
        <v>8</v>
      </c>
    </row>
    <row r="20" spans="1:10">
      <c r="A20" s="959">
        <f t="shared" si="0"/>
        <v>9</v>
      </c>
      <c r="B20" s="1405" t="s">
        <v>966</v>
      </c>
      <c r="C20" s="90"/>
      <c r="D20" s="90"/>
      <c r="E20" s="90"/>
      <c r="F20" s="90"/>
      <c r="G20" s="1390"/>
      <c r="H20" s="73"/>
      <c r="I20" s="68"/>
      <c r="J20" s="959">
        <f t="shared" si="1"/>
        <v>9</v>
      </c>
    </row>
    <row r="21" spans="1:10">
      <c r="A21" s="959">
        <f t="shared" si="0"/>
        <v>10</v>
      </c>
      <c r="B21" s="1386" t="s">
        <v>288</v>
      </c>
      <c r="C21" s="90"/>
      <c r="D21" s="76"/>
      <c r="E21" s="1387"/>
      <c r="F21" s="90"/>
      <c r="G21" s="1557">
        <f>'AV-2B'!C27</f>
        <v>21.770731132631123</v>
      </c>
      <c r="H21" s="923"/>
      <c r="I21" s="1391" t="str">
        <f>"AV-2B; Line "&amp;'AV-2B'!A27</f>
        <v>AV-2B; Line 17</v>
      </c>
      <c r="J21" s="959">
        <f t="shared" si="1"/>
        <v>10</v>
      </c>
    </row>
    <row r="22" spans="1:10">
      <c r="A22" s="959">
        <f t="shared" si="0"/>
        <v>11</v>
      </c>
      <c r="B22" s="90"/>
      <c r="C22" s="77"/>
      <c r="D22" s="90"/>
      <c r="E22" s="77"/>
      <c r="F22" s="90"/>
      <c r="G22" s="77"/>
      <c r="H22" s="77"/>
      <c r="I22" s="90"/>
      <c r="J22" s="959">
        <f t="shared" si="1"/>
        <v>11</v>
      </c>
    </row>
    <row r="23" spans="1:10">
      <c r="A23" s="959">
        <f t="shared" si="0"/>
        <v>12</v>
      </c>
      <c r="B23" s="70" t="s">
        <v>953</v>
      </c>
      <c r="C23" s="77"/>
      <c r="D23" s="90"/>
      <c r="E23" s="77"/>
      <c r="F23" s="90"/>
      <c r="G23" s="77"/>
      <c r="H23" s="77"/>
      <c r="I23" s="90"/>
      <c r="J23" s="959">
        <f t="shared" si="1"/>
        <v>12</v>
      </c>
    </row>
    <row r="24" spans="1:10">
      <c r="A24" s="959">
        <f t="shared" si="0"/>
        <v>13</v>
      </c>
      <c r="B24" s="78" t="s">
        <v>290</v>
      </c>
      <c r="C24" s="90"/>
      <c r="D24" s="90"/>
      <c r="E24" s="90"/>
      <c r="F24" s="90"/>
      <c r="G24" s="90"/>
      <c r="H24" s="90"/>
      <c r="I24" s="90"/>
      <c r="J24" s="959">
        <f t="shared" si="1"/>
        <v>13</v>
      </c>
    </row>
    <row r="25" spans="1:10">
      <c r="A25" s="959">
        <f t="shared" si="0"/>
        <v>14</v>
      </c>
      <c r="B25" s="90" t="s">
        <v>769</v>
      </c>
      <c r="C25" s="1426">
        <v>11661.3</v>
      </c>
      <c r="D25" s="967"/>
      <c r="E25" s="1178">
        <v>4.8999999999999998E-3</v>
      </c>
      <c r="F25" s="90"/>
      <c r="G25" s="1050">
        <f>C25*E25</f>
        <v>57.140369999999997</v>
      </c>
      <c r="H25" s="72"/>
      <c r="I25" s="68" t="s">
        <v>770</v>
      </c>
      <c r="J25" s="959">
        <f t="shared" si="1"/>
        <v>14</v>
      </c>
    </row>
    <row r="26" spans="1:10">
      <c r="A26" s="959">
        <f t="shared" si="0"/>
        <v>15</v>
      </c>
      <c r="B26" s="90"/>
      <c r="C26" s="1050"/>
      <c r="D26" s="967"/>
      <c r="E26" s="1051"/>
      <c r="F26" s="90"/>
      <c r="G26" s="1050"/>
      <c r="H26" s="72"/>
      <c r="I26" s="68"/>
      <c r="J26" s="959">
        <f t="shared" si="1"/>
        <v>15</v>
      </c>
    </row>
    <row r="27" spans="1:10">
      <c r="A27" s="959">
        <f t="shared" si="0"/>
        <v>16</v>
      </c>
      <c r="B27" s="90" t="s">
        <v>772</v>
      </c>
      <c r="C27" s="1443">
        <v>15149.7</v>
      </c>
      <c r="D27" s="967"/>
      <c r="E27" s="1178">
        <v>1.9E-3</v>
      </c>
      <c r="F27" s="90"/>
      <c r="G27" s="812">
        <f>C27*E27</f>
        <v>28.78443</v>
      </c>
      <c r="H27" s="863"/>
      <c r="I27" s="68" t="s">
        <v>770</v>
      </c>
      <c r="J27" s="959">
        <f t="shared" si="1"/>
        <v>16</v>
      </c>
    </row>
    <row r="28" spans="1:10">
      <c r="A28" s="959">
        <f t="shared" si="0"/>
        <v>17</v>
      </c>
      <c r="B28" s="90"/>
      <c r="C28" s="812"/>
      <c r="D28" s="967"/>
      <c r="E28" s="1051"/>
      <c r="F28" s="90"/>
      <c r="G28" s="812"/>
      <c r="H28" s="863"/>
      <c r="I28" s="90"/>
      <c r="J28" s="959">
        <f t="shared" si="1"/>
        <v>17</v>
      </c>
    </row>
    <row r="29" spans="1:10">
      <c r="A29" s="959">
        <f t="shared" si="0"/>
        <v>18</v>
      </c>
      <c r="B29" s="90" t="s">
        <v>768</v>
      </c>
      <c r="C29" s="1443">
        <v>186.3</v>
      </c>
      <c r="D29" s="967"/>
      <c r="E29" s="1108">
        <v>0</v>
      </c>
      <c r="F29" s="90"/>
      <c r="G29" s="812">
        <f>C29*E29</f>
        <v>0</v>
      </c>
      <c r="H29" s="863"/>
      <c r="I29" s="68" t="s">
        <v>770</v>
      </c>
      <c r="J29" s="959">
        <f t="shared" si="1"/>
        <v>18</v>
      </c>
    </row>
    <row r="30" spans="1:10">
      <c r="A30" s="959">
        <f t="shared" si="0"/>
        <v>19</v>
      </c>
      <c r="B30" s="90"/>
      <c r="C30" s="812"/>
      <c r="D30" s="967"/>
      <c r="E30" s="1052"/>
      <c r="F30" s="90"/>
      <c r="G30" s="812"/>
      <c r="H30" s="863"/>
      <c r="I30" s="68"/>
      <c r="J30" s="959">
        <f t="shared" si="1"/>
        <v>19</v>
      </c>
    </row>
    <row r="31" spans="1:10">
      <c r="A31" s="959">
        <f t="shared" si="0"/>
        <v>20</v>
      </c>
      <c r="B31" s="90" t="s">
        <v>548</v>
      </c>
      <c r="C31" s="1443">
        <v>0</v>
      </c>
      <c r="D31" s="967"/>
      <c r="E31" s="1108">
        <v>0</v>
      </c>
      <c r="F31" s="90"/>
      <c r="G31" s="812">
        <f>C31*E31</f>
        <v>0</v>
      </c>
      <c r="H31" s="863"/>
      <c r="I31" s="68" t="s">
        <v>770</v>
      </c>
      <c r="J31" s="959">
        <f t="shared" si="1"/>
        <v>20</v>
      </c>
    </row>
    <row r="32" spans="1:10">
      <c r="A32" s="959">
        <f t="shared" si="0"/>
        <v>21</v>
      </c>
      <c r="B32" s="90"/>
      <c r="C32" s="1053"/>
      <c r="D32" s="967"/>
      <c r="E32" s="1052"/>
      <c r="F32" s="90"/>
      <c r="G32" s="812"/>
      <c r="H32" s="863"/>
      <c r="I32" s="68"/>
      <c r="J32" s="959">
        <f t="shared" si="1"/>
        <v>21</v>
      </c>
    </row>
    <row r="33" spans="1:10">
      <c r="A33" s="959">
        <f t="shared" si="0"/>
        <v>22</v>
      </c>
      <c r="B33" s="90" t="s">
        <v>549</v>
      </c>
      <c r="C33" s="1444">
        <v>2.7</v>
      </c>
      <c r="D33" s="967"/>
      <c r="E33" s="1109">
        <v>0</v>
      </c>
      <c r="F33" s="90"/>
      <c r="G33" s="1057">
        <f>C33*E33</f>
        <v>0</v>
      </c>
      <c r="H33" s="12"/>
      <c r="I33" s="68" t="s">
        <v>770</v>
      </c>
      <c r="J33" s="959">
        <f t="shared" si="1"/>
        <v>22</v>
      </c>
    </row>
    <row r="34" spans="1:10">
      <c r="A34" s="959">
        <f t="shared" si="0"/>
        <v>23</v>
      </c>
      <c r="B34" s="90"/>
      <c r="C34" s="1054">
        <f>SUM(C25:C33)</f>
        <v>27000</v>
      </c>
      <c r="D34" s="967"/>
      <c r="E34" s="967"/>
      <c r="F34" s="90"/>
      <c r="G34" s="1058"/>
      <c r="H34" s="79"/>
      <c r="I34" s="68" t="str">
        <f>"Col. a = Sum Lines "&amp;A25&amp;" thru "&amp;A33</f>
        <v>Col. a = Sum Lines 14 thru 22</v>
      </c>
      <c r="J34" s="959">
        <f t="shared" si="1"/>
        <v>23</v>
      </c>
    </row>
    <row r="35" spans="1:10">
      <c r="A35" s="959">
        <f t="shared" si="0"/>
        <v>24</v>
      </c>
      <c r="B35" s="90"/>
      <c r="C35" s="1055"/>
      <c r="D35" s="967"/>
      <c r="E35" s="967"/>
      <c r="F35" s="90"/>
      <c r="G35" s="967"/>
      <c r="H35" s="90"/>
      <c r="I35" s="90"/>
      <c r="J35" s="959">
        <f t="shared" si="1"/>
        <v>24</v>
      </c>
    </row>
    <row r="36" spans="1:10">
      <c r="A36" s="959">
        <f t="shared" si="0"/>
        <v>25</v>
      </c>
      <c r="B36" s="90" t="s">
        <v>954</v>
      </c>
      <c r="C36" s="967"/>
      <c r="D36" s="967"/>
      <c r="E36" s="967"/>
      <c r="F36" s="90"/>
      <c r="G36" s="1055">
        <f>SUM(G25:G33)</f>
        <v>85.924800000000005</v>
      </c>
      <c r="H36" s="80"/>
      <c r="I36" s="68" t="str">
        <f>"Sum Lines "&amp;A25&amp;" thru "&amp;A33</f>
        <v>Sum Lines 14 thru 22</v>
      </c>
      <c r="J36" s="959">
        <f t="shared" si="1"/>
        <v>25</v>
      </c>
    </row>
    <row r="37" spans="1:10">
      <c r="A37" s="959">
        <f t="shared" si="0"/>
        <v>26</v>
      </c>
      <c r="B37" s="90"/>
      <c r="C37" s="967"/>
      <c r="D37" s="967"/>
      <c r="E37" s="967"/>
      <c r="F37" s="90"/>
      <c r="G37" s="1059"/>
      <c r="H37" s="80"/>
      <c r="I37" s="90"/>
      <c r="J37" s="959">
        <f t="shared" si="1"/>
        <v>26</v>
      </c>
    </row>
    <row r="38" spans="1:10">
      <c r="A38" s="959">
        <f t="shared" si="0"/>
        <v>27</v>
      </c>
      <c r="B38" s="90" t="s">
        <v>820</v>
      </c>
      <c r="C38" s="967"/>
      <c r="D38" s="967"/>
      <c r="E38" s="1056">
        <f>'A. Sec.1 - Direct Maintenance'!C25</f>
        <v>1.0274999999999999E-2</v>
      </c>
      <c r="F38" s="90"/>
      <c r="G38" s="1060">
        <f>G36*E38</f>
        <v>0.88287731999999997</v>
      </c>
      <c r="H38" s="16"/>
      <c r="I38" s="27" t="str">
        <f>"Line "&amp;A36&amp;" x Franchise Fee Rate"</f>
        <v>Line 25 x Franchise Fee Rate</v>
      </c>
      <c r="J38" s="959">
        <f t="shared" si="1"/>
        <v>27</v>
      </c>
    </row>
    <row r="39" spans="1:10">
      <c r="A39" s="959">
        <f t="shared" si="0"/>
        <v>28</v>
      </c>
      <c r="B39" s="90"/>
      <c r="C39" s="90"/>
      <c r="D39" s="90"/>
      <c r="E39" s="90"/>
      <c r="F39" s="90"/>
      <c r="G39" s="1059"/>
      <c r="H39" s="80"/>
      <c r="I39" s="90"/>
      <c r="J39" s="959">
        <f t="shared" si="1"/>
        <v>28</v>
      </c>
    </row>
    <row r="40" spans="1:10">
      <c r="A40" s="959">
        <f t="shared" si="0"/>
        <v>29</v>
      </c>
      <c r="B40" s="90" t="s">
        <v>955</v>
      </c>
      <c r="C40" s="90"/>
      <c r="D40" s="90"/>
      <c r="E40" s="90"/>
      <c r="F40" s="90"/>
      <c r="G40" s="631">
        <f>G36+G38</f>
        <v>86.80767732000001</v>
      </c>
      <c r="H40" s="924"/>
      <c r="I40" s="68" t="str">
        <f>"Line "&amp;A36&amp;" + Line "&amp;A38</f>
        <v>Line 25 + Line 27</v>
      </c>
      <c r="J40" s="959">
        <f t="shared" si="1"/>
        <v>29</v>
      </c>
    </row>
    <row r="41" spans="1:10">
      <c r="A41" s="959">
        <f t="shared" si="0"/>
        <v>30</v>
      </c>
      <c r="B41" s="90"/>
      <c r="C41" s="90"/>
      <c r="D41" s="90"/>
      <c r="E41" s="90"/>
      <c r="F41" s="90"/>
      <c r="G41" s="967"/>
      <c r="H41" s="90"/>
      <c r="I41" s="90"/>
      <c r="J41" s="959">
        <f t="shared" si="1"/>
        <v>30</v>
      </c>
    </row>
    <row r="42" spans="1:10" ht="16.5" thickBot="1">
      <c r="A42" s="959">
        <f t="shared" si="0"/>
        <v>31</v>
      </c>
      <c r="B42" s="69" t="s">
        <v>291</v>
      </c>
      <c r="C42" s="90"/>
      <c r="D42" s="90"/>
      <c r="E42" s="90"/>
      <c r="F42" s="90"/>
      <c r="G42" s="1402">
        <f>G18+G21+G40</f>
        <v>7.6948832581114317</v>
      </c>
      <c r="H42" s="937"/>
      <c r="I42" s="68" t="str">
        <f>"Line "&amp;A18&amp;" + Line "&amp;A21&amp;" + Line "&amp;A40&amp;""</f>
        <v>Line 7 + Line 10 + Line 29</v>
      </c>
      <c r="J42" s="959">
        <f t="shared" si="1"/>
        <v>31</v>
      </c>
    </row>
    <row r="43" spans="1:10" ht="16.5" thickTop="1">
      <c r="A43" s="959"/>
      <c r="B43" s="90"/>
      <c r="C43" s="90"/>
      <c r="D43" s="90"/>
      <c r="E43" s="90"/>
      <c r="F43" s="90"/>
      <c r="G43" s="81"/>
      <c r="H43" s="81"/>
      <c r="I43" s="68"/>
      <c r="J43" s="959"/>
    </row>
    <row r="44" spans="1:10">
      <c r="A44" s="962"/>
      <c r="B44" s="75"/>
      <c r="C44" s="75"/>
      <c r="D44" s="75"/>
      <c r="E44" s="75"/>
      <c r="F44" s="75"/>
      <c r="G44" s="75"/>
      <c r="H44" s="75"/>
      <c r="I44" s="75"/>
      <c r="J44" s="962"/>
    </row>
    <row r="45" spans="1:10" ht="18.75">
      <c r="A45" s="1601"/>
      <c r="B45" s="1602"/>
      <c r="C45" s="75"/>
      <c r="D45" s="75"/>
      <c r="E45" s="75"/>
      <c r="F45" s="75"/>
      <c r="G45" s="75"/>
      <c r="H45" s="75"/>
      <c r="I45" s="75"/>
      <c r="J45" s="962"/>
    </row>
    <row r="46" spans="1:10">
      <c r="A46" s="1603"/>
      <c r="B46" s="1602"/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50" fitToHeight="0" orientation="portrait" r:id="rId1"/>
  <headerFooter scaleWithDoc="0">
    <oddFooter>&amp;C&amp;"Times New Roman,Regular"&amp;10Section 3
Page &amp;P of 1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2:J67"/>
  <sheetViews>
    <sheetView zoomScale="80" zoomScaleNormal="80" workbookViewId="0">
      <selection activeCell="C7" sqref="C7"/>
    </sheetView>
  </sheetViews>
  <sheetFormatPr defaultColWidth="10" defaultRowHeight="15.75"/>
  <cols>
    <col min="1" max="1" width="5.140625" style="1281" customWidth="1"/>
    <col min="2" max="2" width="11.140625" style="1260" customWidth="1"/>
    <col min="3" max="3" width="69.140625" style="1260" customWidth="1"/>
    <col min="4" max="4" width="18.5703125" style="1260" customWidth="1"/>
    <col min="5" max="5" width="5.140625" style="1281" customWidth="1"/>
    <col min="6" max="7" width="10" style="1260"/>
    <col min="8" max="8" width="14" style="1260" customWidth="1"/>
    <col min="9" max="16384" width="10" style="1260"/>
  </cols>
  <sheetData>
    <row r="2" spans="1:10">
      <c r="A2" s="1259"/>
      <c r="B2" s="1650" t="s">
        <v>17</v>
      </c>
      <c r="C2" s="1650"/>
      <c r="D2" s="1650"/>
      <c r="E2" s="1188"/>
      <c r="F2" s="1189"/>
      <c r="G2" s="900"/>
      <c r="H2" s="900"/>
      <c r="I2" s="900"/>
      <c r="J2" s="900"/>
    </row>
    <row r="3" spans="1:10">
      <c r="A3" s="980"/>
      <c r="B3" s="1659" t="str">
        <f>Automation!B3&amp;" Citizens Direct Maintenance"</f>
        <v>2019 Citizens Direct Maintenance</v>
      </c>
      <c r="C3" s="1659"/>
      <c r="D3" s="1659"/>
      <c r="E3" s="982"/>
      <c r="F3" s="900"/>
      <c r="G3" s="900"/>
      <c r="H3" s="900"/>
      <c r="I3" s="900"/>
      <c r="J3" s="900"/>
    </row>
    <row r="4" spans="1:10">
      <c r="A4" s="880"/>
      <c r="B4" s="1660" t="str">
        <f>" 12 Months Ending December 31, "&amp;Automation!$B$3</f>
        <v xml:space="preserve"> 12 Months Ending December 31, 2019</v>
      </c>
      <c r="C4" s="1660"/>
      <c r="D4" s="1660"/>
      <c r="E4" s="981"/>
      <c r="F4" s="109"/>
      <c r="G4" s="109"/>
      <c r="H4" s="109"/>
      <c r="I4" s="109"/>
      <c r="J4" s="109"/>
    </row>
    <row r="5" spans="1:10">
      <c r="A5" s="880"/>
      <c r="B5" s="1661" t="s">
        <v>2</v>
      </c>
      <c r="C5" s="1661"/>
      <c r="D5" s="1661"/>
      <c r="E5" s="981"/>
      <c r="F5" s="109"/>
      <c r="G5" s="109"/>
      <c r="H5" s="109"/>
      <c r="I5" s="109"/>
      <c r="J5" s="109"/>
    </row>
    <row r="6" spans="1:10" ht="16.5" thickBot="1">
      <c r="A6" s="981"/>
      <c r="B6" s="1190"/>
      <c r="C6" s="1190"/>
      <c r="D6" s="1190"/>
      <c r="E6" s="981"/>
      <c r="F6" s="109"/>
      <c r="G6" s="109"/>
      <c r="H6" s="109"/>
      <c r="I6" s="109"/>
      <c r="J6" s="109"/>
    </row>
    <row r="7" spans="1:10">
      <c r="A7" s="1261" t="s">
        <v>3</v>
      </c>
      <c r="B7" s="1262" t="s">
        <v>690</v>
      </c>
      <c r="C7" s="1263"/>
      <c r="D7" s="1264"/>
      <c r="E7" s="1261" t="s">
        <v>3</v>
      </c>
    </row>
    <row r="8" spans="1:10">
      <c r="A8" s="1261" t="s">
        <v>24</v>
      </c>
      <c r="B8" s="1265" t="s">
        <v>70</v>
      </c>
      <c r="C8" s="1266" t="s">
        <v>71</v>
      </c>
      <c r="D8" s="1267" t="s">
        <v>123</v>
      </c>
      <c r="E8" s="1261" t="s">
        <v>24</v>
      </c>
    </row>
    <row r="9" spans="1:10">
      <c r="A9" s="1261">
        <v>1</v>
      </c>
      <c r="B9" s="1268">
        <v>6110020</v>
      </c>
      <c r="C9" s="1269" t="s">
        <v>590</v>
      </c>
      <c r="D9" s="1110">
        <f>0/1000</f>
        <v>0</v>
      </c>
      <c r="E9" s="1261">
        <f>A9</f>
        <v>1</v>
      </c>
    </row>
    <row r="10" spans="1:10">
      <c r="A10" s="1261">
        <f>A9+1</f>
        <v>2</v>
      </c>
      <c r="B10" s="1268">
        <v>6110030</v>
      </c>
      <c r="C10" s="1269" t="s">
        <v>633</v>
      </c>
      <c r="D10" s="903">
        <f>0/1000</f>
        <v>0</v>
      </c>
      <c r="E10" s="1261">
        <f>E9+1</f>
        <v>2</v>
      </c>
    </row>
    <row r="11" spans="1:10">
      <c r="A11" s="1261">
        <f>A10+1</f>
        <v>3</v>
      </c>
      <c r="B11" s="1268">
        <v>6110080</v>
      </c>
      <c r="C11" s="1269" t="s">
        <v>591</v>
      </c>
      <c r="D11" s="903">
        <f t="shared" ref="D11:D54" si="0">0/1000</f>
        <v>0</v>
      </c>
      <c r="E11" s="1261">
        <f>E10+1</f>
        <v>3</v>
      </c>
    </row>
    <row r="12" spans="1:10">
      <c r="A12" s="1261">
        <f>A11+1</f>
        <v>4</v>
      </c>
      <c r="B12" s="1268">
        <v>6110090</v>
      </c>
      <c r="C12" s="1269" t="s">
        <v>592</v>
      </c>
      <c r="D12" s="903">
        <f t="shared" si="0"/>
        <v>0</v>
      </c>
      <c r="E12" s="1261">
        <f>E11+1</f>
        <v>4</v>
      </c>
    </row>
    <row r="13" spans="1:10">
      <c r="A13" s="1261">
        <f>A12+1</f>
        <v>5</v>
      </c>
      <c r="B13" s="1268">
        <v>6110100</v>
      </c>
      <c r="C13" s="1269" t="s">
        <v>593</v>
      </c>
      <c r="D13" s="903">
        <f t="shared" si="0"/>
        <v>0</v>
      </c>
      <c r="E13" s="1261">
        <f>E12+1</f>
        <v>5</v>
      </c>
    </row>
    <row r="14" spans="1:10">
      <c r="A14" s="1261">
        <f>A13+1</f>
        <v>6</v>
      </c>
      <c r="B14" s="1268">
        <v>6110110</v>
      </c>
      <c r="C14" s="1269" t="s">
        <v>594</v>
      </c>
      <c r="D14" s="903">
        <f t="shared" si="0"/>
        <v>0</v>
      </c>
      <c r="E14" s="1261">
        <f>E13+1</f>
        <v>6</v>
      </c>
    </row>
    <row r="15" spans="1:10">
      <c r="A15" s="1261">
        <f t="shared" ref="A15:A57" si="1">A14+1</f>
        <v>7</v>
      </c>
      <c r="B15" s="1268">
        <v>6110120</v>
      </c>
      <c r="C15" s="1269" t="s">
        <v>595</v>
      </c>
      <c r="D15" s="903">
        <f t="shared" si="0"/>
        <v>0</v>
      </c>
      <c r="E15" s="1261">
        <f t="shared" ref="E15:E57" si="2">E14+1</f>
        <v>7</v>
      </c>
    </row>
    <row r="16" spans="1:10">
      <c r="A16" s="1261">
        <f t="shared" si="1"/>
        <v>8</v>
      </c>
      <c r="B16" s="1268">
        <v>6110130</v>
      </c>
      <c r="C16" s="1269" t="s">
        <v>596</v>
      </c>
      <c r="D16" s="903">
        <f t="shared" si="0"/>
        <v>0</v>
      </c>
      <c r="E16" s="1261">
        <f t="shared" si="2"/>
        <v>8</v>
      </c>
    </row>
    <row r="17" spans="1:5">
      <c r="A17" s="1261">
        <f t="shared" si="1"/>
        <v>9</v>
      </c>
      <c r="B17" s="1268">
        <v>6110335</v>
      </c>
      <c r="C17" s="1269" t="s">
        <v>666</v>
      </c>
      <c r="D17" s="903">
        <f t="shared" si="0"/>
        <v>0</v>
      </c>
      <c r="E17" s="1261">
        <f t="shared" si="2"/>
        <v>9</v>
      </c>
    </row>
    <row r="18" spans="1:5">
      <c r="A18" s="1261">
        <f t="shared" si="1"/>
        <v>10</v>
      </c>
      <c r="B18" s="1268">
        <v>6130020</v>
      </c>
      <c r="C18" s="1269" t="s">
        <v>597</v>
      </c>
      <c r="D18" s="903">
        <f t="shared" si="0"/>
        <v>0</v>
      </c>
      <c r="E18" s="1261">
        <f t="shared" si="2"/>
        <v>10</v>
      </c>
    </row>
    <row r="19" spans="1:5">
      <c r="A19" s="1261">
        <f t="shared" si="1"/>
        <v>11</v>
      </c>
      <c r="B19" s="1268">
        <v>6220007</v>
      </c>
      <c r="C19" s="1269" t="s">
        <v>667</v>
      </c>
      <c r="D19" s="903">
        <f t="shared" si="0"/>
        <v>0</v>
      </c>
      <c r="E19" s="1261">
        <f t="shared" si="2"/>
        <v>11</v>
      </c>
    </row>
    <row r="20" spans="1:5">
      <c r="A20" s="1261">
        <f t="shared" si="1"/>
        <v>12</v>
      </c>
      <c r="B20" s="1268">
        <v>6220100</v>
      </c>
      <c r="C20" s="1269" t="s">
        <v>668</v>
      </c>
      <c r="D20" s="903">
        <f t="shared" si="0"/>
        <v>0</v>
      </c>
      <c r="E20" s="1261">
        <f t="shared" si="2"/>
        <v>12</v>
      </c>
    </row>
    <row r="21" spans="1:5">
      <c r="A21" s="1261">
        <f t="shared" si="1"/>
        <v>13</v>
      </c>
      <c r="B21" s="1268">
        <v>6220600</v>
      </c>
      <c r="C21" s="1269" t="s">
        <v>598</v>
      </c>
      <c r="D21" s="903">
        <f t="shared" si="0"/>
        <v>0</v>
      </c>
      <c r="E21" s="1261">
        <f t="shared" si="2"/>
        <v>13</v>
      </c>
    </row>
    <row r="22" spans="1:5">
      <c r="A22" s="1261">
        <f t="shared" si="1"/>
        <v>14</v>
      </c>
      <c r="B22" s="1268">
        <v>6220850</v>
      </c>
      <c r="C22" s="1269" t="s">
        <v>599</v>
      </c>
      <c r="D22" s="903">
        <f t="shared" si="0"/>
        <v>0</v>
      </c>
      <c r="E22" s="1261">
        <f t="shared" si="2"/>
        <v>14</v>
      </c>
    </row>
    <row r="23" spans="1:5">
      <c r="A23" s="1261">
        <f t="shared" si="1"/>
        <v>15</v>
      </c>
      <c r="B23" s="1268">
        <v>6221000</v>
      </c>
      <c r="C23" s="1269" t="s">
        <v>600</v>
      </c>
      <c r="D23" s="903">
        <f t="shared" si="0"/>
        <v>0</v>
      </c>
      <c r="E23" s="1261">
        <f t="shared" si="2"/>
        <v>15</v>
      </c>
    </row>
    <row r="24" spans="1:5">
      <c r="A24" s="1261">
        <f t="shared" si="1"/>
        <v>16</v>
      </c>
      <c r="B24" s="1268">
        <v>6231042</v>
      </c>
      <c r="C24" s="1269" t="s">
        <v>601</v>
      </c>
      <c r="D24" s="903">
        <f t="shared" si="0"/>
        <v>0</v>
      </c>
      <c r="E24" s="1261">
        <f t="shared" si="2"/>
        <v>16</v>
      </c>
    </row>
    <row r="25" spans="1:5">
      <c r="A25" s="1261">
        <f t="shared" si="1"/>
        <v>17</v>
      </c>
      <c r="B25" s="1268">
        <v>6261050</v>
      </c>
      <c r="C25" s="1269" t="s">
        <v>602</v>
      </c>
      <c r="D25" s="903">
        <f t="shared" si="0"/>
        <v>0</v>
      </c>
      <c r="E25" s="1261">
        <f t="shared" si="2"/>
        <v>17</v>
      </c>
    </row>
    <row r="26" spans="1:5">
      <c r="A26" s="1261">
        <f t="shared" si="1"/>
        <v>18</v>
      </c>
      <c r="B26" s="1268">
        <v>6262050</v>
      </c>
      <c r="C26" s="1269" t="s">
        <v>603</v>
      </c>
      <c r="D26" s="903">
        <f t="shared" si="0"/>
        <v>0</v>
      </c>
      <c r="E26" s="1261">
        <f t="shared" si="2"/>
        <v>18</v>
      </c>
    </row>
    <row r="27" spans="1:5">
      <c r="A27" s="1261">
        <f t="shared" si="1"/>
        <v>19</v>
      </c>
      <c r="B27" s="1268">
        <v>6340000</v>
      </c>
      <c r="C27" s="1269" t="s">
        <v>604</v>
      </c>
      <c r="D27" s="903">
        <f t="shared" si="0"/>
        <v>0</v>
      </c>
      <c r="E27" s="1261">
        <f t="shared" si="2"/>
        <v>19</v>
      </c>
    </row>
    <row r="28" spans="1:5">
      <c r="A28" s="1261">
        <f t="shared" si="1"/>
        <v>20</v>
      </c>
      <c r="B28" s="1268">
        <v>9121100</v>
      </c>
      <c r="C28" s="1269" t="s">
        <v>605</v>
      </c>
      <c r="D28" s="903">
        <f t="shared" si="0"/>
        <v>0</v>
      </c>
      <c r="E28" s="1261">
        <f t="shared" si="2"/>
        <v>20</v>
      </c>
    </row>
    <row r="29" spans="1:5">
      <c r="A29" s="1261">
        <f t="shared" si="1"/>
        <v>21</v>
      </c>
      <c r="B29" s="1268">
        <v>9121200</v>
      </c>
      <c r="C29" s="1269" t="s">
        <v>606</v>
      </c>
      <c r="D29" s="903">
        <f t="shared" si="0"/>
        <v>0</v>
      </c>
      <c r="E29" s="1261">
        <f t="shared" si="2"/>
        <v>21</v>
      </c>
    </row>
    <row r="30" spans="1:5">
      <c r="A30" s="1261">
        <f t="shared" si="1"/>
        <v>22</v>
      </c>
      <c r="B30" s="1268">
        <v>9121400</v>
      </c>
      <c r="C30" s="1269" t="s">
        <v>607</v>
      </c>
      <c r="D30" s="903">
        <f t="shared" si="0"/>
        <v>0</v>
      </c>
      <c r="E30" s="1261">
        <f t="shared" si="2"/>
        <v>22</v>
      </c>
    </row>
    <row r="31" spans="1:5">
      <c r="A31" s="1261">
        <f t="shared" si="1"/>
        <v>23</v>
      </c>
      <c r="B31" s="1268">
        <v>9121500</v>
      </c>
      <c r="C31" s="1269" t="s">
        <v>608</v>
      </c>
      <c r="D31" s="903">
        <f t="shared" si="0"/>
        <v>0</v>
      </c>
      <c r="E31" s="1261">
        <f t="shared" si="2"/>
        <v>23</v>
      </c>
    </row>
    <row r="32" spans="1:5">
      <c r="A32" s="1261">
        <f t="shared" si="1"/>
        <v>24</v>
      </c>
      <c r="B32" s="1268">
        <v>9121600</v>
      </c>
      <c r="C32" s="1269" t="s">
        <v>609</v>
      </c>
      <c r="D32" s="903">
        <f t="shared" si="0"/>
        <v>0</v>
      </c>
      <c r="E32" s="1261">
        <f t="shared" si="2"/>
        <v>24</v>
      </c>
    </row>
    <row r="33" spans="1:5">
      <c r="A33" s="1261">
        <f t="shared" si="1"/>
        <v>25</v>
      </c>
      <c r="B33" s="1268">
        <v>9122300</v>
      </c>
      <c r="C33" s="1269" t="s">
        <v>610</v>
      </c>
      <c r="D33" s="903">
        <f t="shared" si="0"/>
        <v>0</v>
      </c>
      <c r="E33" s="1261">
        <f t="shared" si="2"/>
        <v>25</v>
      </c>
    </row>
    <row r="34" spans="1:5">
      <c r="A34" s="1261">
        <f t="shared" si="1"/>
        <v>26</v>
      </c>
      <c r="B34" s="1268">
        <v>9122400</v>
      </c>
      <c r="C34" s="1269" t="s">
        <v>611</v>
      </c>
      <c r="D34" s="903">
        <f t="shared" si="0"/>
        <v>0</v>
      </c>
      <c r="E34" s="1261">
        <f t="shared" si="2"/>
        <v>26</v>
      </c>
    </row>
    <row r="35" spans="1:5">
      <c r="A35" s="1261">
        <f t="shared" si="1"/>
        <v>27</v>
      </c>
      <c r="B35" s="1268">
        <v>9122500</v>
      </c>
      <c r="C35" s="1269" t="s">
        <v>612</v>
      </c>
      <c r="D35" s="903">
        <f t="shared" si="0"/>
        <v>0</v>
      </c>
      <c r="E35" s="1261">
        <f t="shared" si="2"/>
        <v>27</v>
      </c>
    </row>
    <row r="36" spans="1:5">
      <c r="A36" s="1261">
        <f t="shared" si="1"/>
        <v>28</v>
      </c>
      <c r="B36" s="1268">
        <v>9122600</v>
      </c>
      <c r="C36" s="1269" t="s">
        <v>613</v>
      </c>
      <c r="D36" s="903">
        <f t="shared" si="0"/>
        <v>0</v>
      </c>
      <c r="E36" s="1261">
        <f t="shared" si="2"/>
        <v>28</v>
      </c>
    </row>
    <row r="37" spans="1:5">
      <c r="A37" s="1261">
        <f t="shared" si="1"/>
        <v>29</v>
      </c>
      <c r="B37" s="1268">
        <v>9122900</v>
      </c>
      <c r="C37" s="1269" t="s">
        <v>614</v>
      </c>
      <c r="D37" s="903">
        <f t="shared" si="0"/>
        <v>0</v>
      </c>
      <c r="E37" s="1261">
        <f t="shared" si="2"/>
        <v>29</v>
      </c>
    </row>
    <row r="38" spans="1:5">
      <c r="A38" s="1261">
        <f t="shared" si="1"/>
        <v>30</v>
      </c>
      <c r="B38" s="1268">
        <v>9123100</v>
      </c>
      <c r="C38" s="1269" t="s">
        <v>615</v>
      </c>
      <c r="D38" s="903">
        <f t="shared" si="0"/>
        <v>0</v>
      </c>
      <c r="E38" s="1261">
        <f t="shared" si="2"/>
        <v>30</v>
      </c>
    </row>
    <row r="39" spans="1:5">
      <c r="A39" s="1261">
        <f t="shared" si="1"/>
        <v>31</v>
      </c>
      <c r="B39" s="1268">
        <v>9123200</v>
      </c>
      <c r="C39" s="1269" t="s">
        <v>616</v>
      </c>
      <c r="D39" s="903">
        <f t="shared" si="0"/>
        <v>0</v>
      </c>
      <c r="E39" s="1261">
        <f t="shared" si="2"/>
        <v>31</v>
      </c>
    </row>
    <row r="40" spans="1:5">
      <c r="A40" s="1261">
        <f t="shared" si="1"/>
        <v>32</v>
      </c>
      <c r="B40" s="1268">
        <v>9123400</v>
      </c>
      <c r="C40" s="1269" t="s">
        <v>617</v>
      </c>
      <c r="D40" s="903">
        <f t="shared" si="0"/>
        <v>0</v>
      </c>
      <c r="E40" s="1261">
        <f t="shared" si="2"/>
        <v>32</v>
      </c>
    </row>
    <row r="41" spans="1:5">
      <c r="A41" s="1261">
        <f t="shared" si="1"/>
        <v>33</v>
      </c>
      <c r="B41" s="1268">
        <v>9123500</v>
      </c>
      <c r="C41" s="1269" t="s">
        <v>618</v>
      </c>
      <c r="D41" s="903">
        <f t="shared" si="0"/>
        <v>0</v>
      </c>
      <c r="E41" s="1261">
        <f t="shared" si="2"/>
        <v>33</v>
      </c>
    </row>
    <row r="42" spans="1:5">
      <c r="A42" s="1261">
        <f t="shared" si="1"/>
        <v>34</v>
      </c>
      <c r="B42" s="1268">
        <v>9123600</v>
      </c>
      <c r="C42" s="1269" t="s">
        <v>619</v>
      </c>
      <c r="D42" s="903">
        <f t="shared" si="0"/>
        <v>0</v>
      </c>
      <c r="E42" s="1261">
        <f t="shared" si="2"/>
        <v>34</v>
      </c>
    </row>
    <row r="43" spans="1:5">
      <c r="A43" s="1261">
        <f t="shared" si="1"/>
        <v>35</v>
      </c>
      <c r="B43" s="1268">
        <v>9124300</v>
      </c>
      <c r="C43" s="1269" t="s">
        <v>620</v>
      </c>
      <c r="D43" s="903">
        <f t="shared" si="0"/>
        <v>0</v>
      </c>
      <c r="E43" s="1261">
        <f t="shared" si="2"/>
        <v>35</v>
      </c>
    </row>
    <row r="44" spans="1:5">
      <c r="A44" s="1261">
        <f t="shared" si="1"/>
        <v>36</v>
      </c>
      <c r="B44" s="1268">
        <v>9124400</v>
      </c>
      <c r="C44" s="1269" t="s">
        <v>621</v>
      </c>
      <c r="D44" s="903">
        <f t="shared" si="0"/>
        <v>0</v>
      </c>
      <c r="E44" s="1261">
        <f t="shared" si="2"/>
        <v>36</v>
      </c>
    </row>
    <row r="45" spans="1:5">
      <c r="A45" s="1261">
        <f t="shared" si="1"/>
        <v>37</v>
      </c>
      <c r="B45" s="1268">
        <v>9124500</v>
      </c>
      <c r="C45" s="1269" t="s">
        <v>622</v>
      </c>
      <c r="D45" s="903">
        <f t="shared" si="0"/>
        <v>0</v>
      </c>
      <c r="E45" s="1261">
        <f t="shared" si="2"/>
        <v>37</v>
      </c>
    </row>
    <row r="46" spans="1:5">
      <c r="A46" s="1261">
        <f t="shared" si="1"/>
        <v>38</v>
      </c>
      <c r="B46" s="1268">
        <v>9124600</v>
      </c>
      <c r="C46" s="1269" t="s">
        <v>623</v>
      </c>
      <c r="D46" s="903">
        <f t="shared" si="0"/>
        <v>0</v>
      </c>
      <c r="E46" s="1261">
        <f t="shared" si="2"/>
        <v>38</v>
      </c>
    </row>
    <row r="47" spans="1:5">
      <c r="A47" s="1261">
        <f t="shared" si="1"/>
        <v>39</v>
      </c>
      <c r="B47" s="1268">
        <v>9124900</v>
      </c>
      <c r="C47" s="1269" t="s">
        <v>624</v>
      </c>
      <c r="D47" s="903">
        <f t="shared" si="0"/>
        <v>0</v>
      </c>
      <c r="E47" s="1261">
        <f t="shared" si="2"/>
        <v>39</v>
      </c>
    </row>
    <row r="48" spans="1:5">
      <c r="A48" s="1261">
        <f t="shared" si="1"/>
        <v>40</v>
      </c>
      <c r="B48" s="1268">
        <v>9131150</v>
      </c>
      <c r="C48" s="1269" t="s">
        <v>625</v>
      </c>
      <c r="D48" s="903">
        <f t="shared" si="0"/>
        <v>0</v>
      </c>
      <c r="E48" s="1261">
        <f t="shared" si="2"/>
        <v>40</v>
      </c>
    </row>
    <row r="49" spans="1:5">
      <c r="A49" s="1261">
        <f t="shared" si="1"/>
        <v>41</v>
      </c>
      <c r="B49" s="1268">
        <v>9131700</v>
      </c>
      <c r="C49" s="1269" t="s">
        <v>961</v>
      </c>
      <c r="D49" s="903">
        <f t="shared" si="0"/>
        <v>0</v>
      </c>
      <c r="E49" s="1261">
        <f t="shared" si="2"/>
        <v>41</v>
      </c>
    </row>
    <row r="50" spans="1:5">
      <c r="A50" s="1261">
        <f t="shared" si="1"/>
        <v>42</v>
      </c>
      <c r="B50" s="1268">
        <v>9131850</v>
      </c>
      <c r="C50" s="1269" t="s">
        <v>626</v>
      </c>
      <c r="D50" s="903">
        <f t="shared" si="0"/>
        <v>0</v>
      </c>
      <c r="E50" s="1261">
        <f t="shared" si="2"/>
        <v>42</v>
      </c>
    </row>
    <row r="51" spans="1:5">
      <c r="A51" s="1261">
        <f t="shared" si="1"/>
        <v>43</v>
      </c>
      <c r="B51" s="1268">
        <v>9131860</v>
      </c>
      <c r="C51" s="1269" t="s">
        <v>627</v>
      </c>
      <c r="D51" s="903">
        <f t="shared" si="0"/>
        <v>0</v>
      </c>
      <c r="E51" s="1261">
        <f t="shared" si="2"/>
        <v>43</v>
      </c>
    </row>
    <row r="52" spans="1:5">
      <c r="A52" s="1261">
        <f t="shared" si="1"/>
        <v>44</v>
      </c>
      <c r="B52" s="1268">
        <v>9132150</v>
      </c>
      <c r="C52" s="1269" t="s">
        <v>628</v>
      </c>
      <c r="D52" s="903">
        <f t="shared" si="0"/>
        <v>0</v>
      </c>
      <c r="E52" s="1261">
        <f t="shared" si="2"/>
        <v>44</v>
      </c>
    </row>
    <row r="53" spans="1:5">
      <c r="A53" s="1261">
        <f t="shared" si="1"/>
        <v>45</v>
      </c>
      <c r="B53" s="1268">
        <v>9132700</v>
      </c>
      <c r="C53" s="1269" t="s">
        <v>962</v>
      </c>
      <c r="D53" s="903">
        <f t="shared" si="0"/>
        <v>0</v>
      </c>
      <c r="E53" s="1261">
        <f t="shared" si="2"/>
        <v>45</v>
      </c>
    </row>
    <row r="54" spans="1:5">
      <c r="A54" s="1261">
        <f t="shared" si="1"/>
        <v>46</v>
      </c>
      <c r="B54" s="1270">
        <v>9132850</v>
      </c>
      <c r="C54" s="1271" t="s">
        <v>629</v>
      </c>
      <c r="D54" s="1445">
        <f t="shared" si="0"/>
        <v>0</v>
      </c>
      <c r="E54" s="1261">
        <f t="shared" si="2"/>
        <v>46</v>
      </c>
    </row>
    <row r="55" spans="1:5">
      <c r="A55" s="1261">
        <f t="shared" si="1"/>
        <v>47</v>
      </c>
      <c r="B55" s="1272"/>
      <c r="C55" s="1273"/>
      <c r="D55" s="1274"/>
      <c r="E55" s="1261">
        <f t="shared" si="2"/>
        <v>47</v>
      </c>
    </row>
    <row r="56" spans="1:5" ht="19.5" thickBot="1">
      <c r="A56" s="1261">
        <f t="shared" si="1"/>
        <v>48</v>
      </c>
      <c r="B56" s="1275" t="s">
        <v>778</v>
      </c>
      <c r="C56" s="1276"/>
      <c r="D56" s="1277">
        <f>SUM(D9:D54)</f>
        <v>0</v>
      </c>
      <c r="E56" s="1261">
        <f t="shared" si="2"/>
        <v>48</v>
      </c>
    </row>
    <row r="57" spans="1:5" ht="17.25" thickTop="1" thickBot="1">
      <c r="A57" s="1261">
        <f t="shared" si="1"/>
        <v>49</v>
      </c>
      <c r="B57" s="1278"/>
      <c r="C57" s="1279"/>
      <c r="D57" s="1280"/>
      <c r="E57" s="1261">
        <f t="shared" si="2"/>
        <v>49</v>
      </c>
    </row>
    <row r="58" spans="1:5">
      <c r="D58" s="1282"/>
    </row>
    <row r="59" spans="1:5">
      <c r="D59" s="1282"/>
    </row>
    <row r="60" spans="1:5" ht="18.75">
      <c r="A60" s="1283">
        <v>1</v>
      </c>
      <c r="B60" s="1284" t="s">
        <v>689</v>
      </c>
      <c r="C60" s="1284"/>
      <c r="D60" s="1285"/>
    </row>
    <row r="61" spans="1:5" ht="18.75">
      <c r="A61" s="1283"/>
      <c r="B61" s="1284" t="s">
        <v>665</v>
      </c>
      <c r="C61" s="1284"/>
      <c r="D61" s="1285"/>
    </row>
    <row r="62" spans="1:5" ht="18.75">
      <c r="A62" s="1286">
        <v>2</v>
      </c>
      <c r="B62" s="1284" t="s">
        <v>851</v>
      </c>
      <c r="C62" s="1284"/>
    </row>
    <row r="63" spans="1:5">
      <c r="C63" s="1285"/>
    </row>
    <row r="64" spans="1:5">
      <c r="C64" s="205"/>
    </row>
    <row r="65" spans="3:3">
      <c r="C65" s="1284"/>
    </row>
    <row r="66" spans="3:3">
      <c r="C66" s="1284"/>
    </row>
    <row r="67" spans="3:3">
      <c r="C67" s="1284"/>
    </row>
  </sheetData>
  <mergeCells count="4">
    <mergeCell ref="B2:D2"/>
    <mergeCell ref="B3:D3"/>
    <mergeCell ref="B4:D4"/>
    <mergeCell ref="B5:D5"/>
  </mergeCells>
  <printOptions horizontalCentered="1"/>
  <pageMargins left="0.5" right="0.5" top="0.5" bottom="0.5" header="0.25" footer="0.25"/>
  <pageSetup scale="24" orientation="portrait" r:id="rId1"/>
  <headerFooter scaleWithDoc="0">
    <oddFooter>&amp;C&amp;"Times New Roman,Regular"&amp;10&amp;A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K428"/>
  <sheetViews>
    <sheetView topLeftCell="A19" zoomScale="80" zoomScaleNormal="80" zoomScalePageLayoutView="90" workbookViewId="0">
      <selection activeCell="C7" sqref="C7"/>
    </sheetView>
  </sheetViews>
  <sheetFormatPr defaultColWidth="13.42578125" defaultRowHeight="15.75"/>
  <cols>
    <col min="1" max="1" width="5.140625" style="397" customWidth="1"/>
    <col min="2" max="2" width="8.5703125" style="431" customWidth="1"/>
    <col min="3" max="3" width="63.140625" style="397" customWidth="1"/>
    <col min="4" max="4" width="16.85546875" style="397" customWidth="1"/>
    <col min="5" max="5" width="16.85546875" style="290" customWidth="1"/>
    <col min="6" max="6" width="16.85546875" style="397" customWidth="1"/>
    <col min="7" max="7" width="38.85546875" style="397" customWidth="1"/>
    <col min="8" max="8" width="5.140625" style="397" customWidth="1"/>
    <col min="9" max="16384" width="13.42578125" style="397"/>
  </cols>
  <sheetData>
    <row r="1" spans="1:11">
      <c r="A1" s="1189"/>
    </row>
    <row r="2" spans="1:11" s="1189" customFormat="1">
      <c r="B2" s="1635" t="s">
        <v>17</v>
      </c>
      <c r="C2" s="1635"/>
      <c r="D2" s="1635"/>
      <c r="E2" s="1635"/>
      <c r="F2" s="1635"/>
      <c r="G2" s="1635"/>
      <c r="H2" s="1182"/>
    </row>
    <row r="3" spans="1:11" s="1189" customFormat="1">
      <c r="B3" s="1635" t="s">
        <v>135</v>
      </c>
      <c r="C3" s="1635"/>
      <c r="D3" s="1635"/>
      <c r="E3" s="1635"/>
      <c r="F3" s="1635"/>
      <c r="G3" s="1635"/>
      <c r="H3" s="432"/>
    </row>
    <row r="4" spans="1:11" s="1189" customFormat="1">
      <c r="B4" s="1635" t="str">
        <f>" 12 Months Ending December 31, "&amp;Automation!$B$3</f>
        <v xml:space="preserve"> 12 Months Ending December 31, 2019</v>
      </c>
      <c r="C4" s="1635"/>
      <c r="D4" s="1635"/>
      <c r="E4" s="1635"/>
      <c r="F4" s="1635"/>
      <c r="G4" s="1635"/>
      <c r="H4" s="432"/>
    </row>
    <row r="5" spans="1:11" s="433" customFormat="1">
      <c r="B5" s="1662" t="s">
        <v>2</v>
      </c>
      <c r="C5" s="1662"/>
      <c r="D5" s="1662"/>
      <c r="E5" s="1662"/>
      <c r="F5" s="1662"/>
      <c r="G5" s="1662"/>
      <c r="H5" s="434"/>
    </row>
    <row r="6" spans="1:11" ht="16.5" thickBot="1">
      <c r="A6" s="435"/>
      <c r="B6" s="436"/>
      <c r="C6" s="437"/>
      <c r="D6" s="437"/>
      <c r="E6" s="438"/>
      <c r="F6" s="437"/>
      <c r="G6" s="437"/>
      <c r="H6" s="437"/>
    </row>
    <row r="7" spans="1:11" s="1189" customFormat="1">
      <c r="A7" s="439"/>
      <c r="B7" s="440"/>
      <c r="C7" s="441"/>
      <c r="D7" s="442" t="s">
        <v>4</v>
      </c>
      <c r="E7" s="443" t="s">
        <v>5</v>
      </c>
      <c r="F7" s="442" t="s">
        <v>136</v>
      </c>
      <c r="G7" s="444"/>
      <c r="H7" s="439"/>
    </row>
    <row r="8" spans="1:11" s="1189" customFormat="1">
      <c r="A8" s="445" t="s">
        <v>3</v>
      </c>
      <c r="B8" s="446" t="s">
        <v>137</v>
      </c>
      <c r="C8" s="433"/>
      <c r="D8" s="447" t="s">
        <v>30</v>
      </c>
      <c r="E8" s="447" t="s">
        <v>138</v>
      </c>
      <c r="F8" s="447" t="s">
        <v>30</v>
      </c>
      <c r="G8" s="448"/>
      <c r="H8" s="445" t="s">
        <v>3</v>
      </c>
    </row>
    <row r="9" spans="1:11" s="1189" customFormat="1">
      <c r="A9" s="445" t="s">
        <v>24</v>
      </c>
      <c r="B9" s="449" t="s">
        <v>139</v>
      </c>
      <c r="C9" s="406" t="s">
        <v>71</v>
      </c>
      <c r="D9" s="450" t="s">
        <v>140</v>
      </c>
      <c r="E9" s="450" t="s">
        <v>141</v>
      </c>
      <c r="F9" s="450" t="s">
        <v>142</v>
      </c>
      <c r="G9" s="451" t="s">
        <v>8</v>
      </c>
      <c r="H9" s="445" t="s">
        <v>24</v>
      </c>
    </row>
    <row r="10" spans="1:11" s="1189" customFormat="1">
      <c r="A10" s="445"/>
      <c r="B10" s="452"/>
      <c r="C10" s="453" t="s">
        <v>143</v>
      </c>
      <c r="D10" s="454"/>
      <c r="E10" s="454"/>
      <c r="F10" s="454"/>
      <c r="G10" s="455"/>
      <c r="H10" s="445"/>
      <c r="J10" s="397"/>
      <c r="K10" s="397"/>
    </row>
    <row r="11" spans="1:11" s="1189" customFormat="1">
      <c r="A11" s="445">
        <v>1</v>
      </c>
      <c r="B11" s="456">
        <v>560</v>
      </c>
      <c r="C11" s="439" t="s">
        <v>144</v>
      </c>
      <c r="D11" s="314">
        <v>7279.0110000000004</v>
      </c>
      <c r="E11" s="314">
        <f>E51</f>
        <v>132.11562000000001</v>
      </c>
      <c r="F11" s="314">
        <f>D11-E11</f>
        <v>7146.8953800000008</v>
      </c>
      <c r="G11" s="457" t="s">
        <v>424</v>
      </c>
      <c r="H11" s="445">
        <f>A11</f>
        <v>1</v>
      </c>
      <c r="J11" s="397"/>
      <c r="K11" s="397"/>
    </row>
    <row r="12" spans="1:11" s="1189" customFormat="1">
      <c r="A12" s="445">
        <f>A11+1</f>
        <v>2</v>
      </c>
      <c r="B12" s="456">
        <v>561.1</v>
      </c>
      <c r="C12" s="439" t="s">
        <v>145</v>
      </c>
      <c r="D12" s="316">
        <v>668.024</v>
      </c>
      <c r="E12" s="316">
        <v>0</v>
      </c>
      <c r="F12" s="316">
        <f>D12-E12</f>
        <v>668.024</v>
      </c>
      <c r="G12" s="457" t="s">
        <v>425</v>
      </c>
      <c r="H12" s="445">
        <f>H11+1</f>
        <v>2</v>
      </c>
      <c r="J12" s="397"/>
      <c r="K12" s="397"/>
    </row>
    <row r="13" spans="1:11" s="1189" customFormat="1">
      <c r="A13" s="445">
        <f t="shared" ref="A13:A75" si="0">A12+1</f>
        <v>3</v>
      </c>
      <c r="B13" s="456">
        <v>561.20000000000005</v>
      </c>
      <c r="C13" s="439" t="s">
        <v>146</v>
      </c>
      <c r="D13" s="316">
        <v>1351.6510000000001</v>
      </c>
      <c r="E13" s="316">
        <v>0</v>
      </c>
      <c r="F13" s="316">
        <f>D13-E13</f>
        <v>1351.6510000000001</v>
      </c>
      <c r="G13" s="457" t="s">
        <v>426</v>
      </c>
      <c r="H13" s="445">
        <f t="shared" ref="H13:H75" si="1">H12+1</f>
        <v>3</v>
      </c>
      <c r="J13" s="397"/>
      <c r="K13" s="397"/>
    </row>
    <row r="14" spans="1:11" s="1189" customFormat="1">
      <c r="A14" s="445">
        <f t="shared" si="0"/>
        <v>4</v>
      </c>
      <c r="B14" s="456">
        <v>561.29999999999995</v>
      </c>
      <c r="C14" s="439" t="s">
        <v>147</v>
      </c>
      <c r="D14" s="316">
        <v>182.67599999999999</v>
      </c>
      <c r="E14" s="316">
        <v>0</v>
      </c>
      <c r="F14" s="316">
        <f>D14-E14</f>
        <v>182.67599999999999</v>
      </c>
      <c r="G14" s="457" t="s">
        <v>427</v>
      </c>
      <c r="H14" s="445">
        <f t="shared" si="1"/>
        <v>4</v>
      </c>
      <c r="J14" s="397"/>
      <c r="K14" s="397"/>
    </row>
    <row r="15" spans="1:11" s="1189" customFormat="1">
      <c r="A15" s="445">
        <f t="shared" si="0"/>
        <v>5</v>
      </c>
      <c r="B15" s="456">
        <v>561.4</v>
      </c>
      <c r="C15" s="439" t="s">
        <v>148</v>
      </c>
      <c r="D15" s="316">
        <v>5093.2439999999997</v>
      </c>
      <c r="E15" s="316">
        <f>E52</f>
        <v>5093.2442599999995</v>
      </c>
      <c r="F15" s="316">
        <f t="shared" ref="F15:F17" si="2">D15-E15</f>
        <v>-2.5999999979831045E-4</v>
      </c>
      <c r="G15" s="457" t="s">
        <v>428</v>
      </c>
      <c r="H15" s="445">
        <f t="shared" si="1"/>
        <v>5</v>
      </c>
      <c r="J15" s="397"/>
      <c r="K15" s="397"/>
    </row>
    <row r="16" spans="1:11" s="1189" customFormat="1">
      <c r="A16" s="445">
        <f t="shared" si="0"/>
        <v>6</v>
      </c>
      <c r="B16" s="456">
        <v>561.5</v>
      </c>
      <c r="C16" s="439" t="s">
        <v>149</v>
      </c>
      <c r="D16" s="316">
        <v>94.123999999999995</v>
      </c>
      <c r="E16" s="316">
        <v>0</v>
      </c>
      <c r="F16" s="316">
        <f t="shared" si="2"/>
        <v>94.123999999999995</v>
      </c>
      <c r="G16" s="457" t="s">
        <v>429</v>
      </c>
      <c r="H16" s="445">
        <f t="shared" si="1"/>
        <v>6</v>
      </c>
      <c r="J16" s="397"/>
      <c r="K16" s="397"/>
    </row>
    <row r="17" spans="1:11" s="1189" customFormat="1">
      <c r="A17" s="445">
        <f t="shared" si="0"/>
        <v>7</v>
      </c>
      <c r="B17" s="456">
        <v>561.6</v>
      </c>
      <c r="C17" s="439" t="s">
        <v>150</v>
      </c>
      <c r="D17" s="316">
        <v>0</v>
      </c>
      <c r="E17" s="316">
        <v>0</v>
      </c>
      <c r="F17" s="316">
        <f t="shared" si="2"/>
        <v>0</v>
      </c>
      <c r="G17" s="457" t="s">
        <v>430</v>
      </c>
      <c r="H17" s="445">
        <f t="shared" si="1"/>
        <v>7</v>
      </c>
      <c r="J17" s="397"/>
      <c r="K17" s="397"/>
    </row>
    <row r="18" spans="1:11" s="1189" customFormat="1">
      <c r="A18" s="445">
        <f t="shared" si="0"/>
        <v>8</v>
      </c>
      <c r="B18" s="456">
        <v>561.70000000000005</v>
      </c>
      <c r="C18" s="439" t="s">
        <v>151</v>
      </c>
      <c r="D18" s="316">
        <v>2.0979999999999999</v>
      </c>
      <c r="E18" s="316">
        <v>0</v>
      </c>
      <c r="F18" s="316">
        <f>D18-E18</f>
        <v>2.0979999999999999</v>
      </c>
      <c r="G18" s="1591" t="s">
        <v>431</v>
      </c>
      <c r="H18" s="445">
        <f t="shared" si="1"/>
        <v>8</v>
      </c>
      <c r="J18" s="397"/>
      <c r="K18" s="397"/>
    </row>
    <row r="19" spans="1:11" s="1189" customFormat="1">
      <c r="A19" s="445">
        <f t="shared" si="0"/>
        <v>9</v>
      </c>
      <c r="B19" s="456">
        <v>561.79999999999995</v>
      </c>
      <c r="C19" s="439" t="s">
        <v>152</v>
      </c>
      <c r="D19" s="316">
        <v>3079.7379999999998</v>
      </c>
      <c r="E19" s="459">
        <f>E53</f>
        <v>2418.7412800000002</v>
      </c>
      <c r="F19" s="316">
        <f t="shared" ref="F19:F20" si="3">D19-E19</f>
        <v>660.99671999999964</v>
      </c>
      <c r="G19" s="1591" t="s">
        <v>432</v>
      </c>
      <c r="H19" s="445">
        <f t="shared" si="1"/>
        <v>9</v>
      </c>
      <c r="J19" s="397"/>
      <c r="K19" s="397"/>
    </row>
    <row r="20" spans="1:11" s="1189" customFormat="1" ht="18.75">
      <c r="A20" s="445">
        <f t="shared" si="0"/>
        <v>10</v>
      </c>
      <c r="B20" s="456">
        <v>562</v>
      </c>
      <c r="C20" s="439" t="s">
        <v>451</v>
      </c>
      <c r="D20" s="316">
        <v>6283.7089999999998</v>
      </c>
      <c r="E20" s="459">
        <f>E54</f>
        <v>6283.7089999999998</v>
      </c>
      <c r="F20" s="316">
        <f t="shared" si="3"/>
        <v>0</v>
      </c>
      <c r="G20" s="1591" t="s">
        <v>433</v>
      </c>
      <c r="H20" s="445">
        <f t="shared" si="1"/>
        <v>10</v>
      </c>
      <c r="I20" s="1112"/>
      <c r="J20" s="397"/>
      <c r="K20" s="397"/>
    </row>
    <row r="21" spans="1:11" s="1189" customFormat="1">
      <c r="A21" s="445">
        <f t="shared" si="0"/>
        <v>11</v>
      </c>
      <c r="B21" s="456">
        <v>563</v>
      </c>
      <c r="C21" s="439" t="s">
        <v>450</v>
      </c>
      <c r="D21" s="316">
        <v>8316.0300000000007</v>
      </c>
      <c r="E21" s="316">
        <f>E55</f>
        <v>8316.0300000000007</v>
      </c>
      <c r="F21" s="316">
        <f>D21-E21</f>
        <v>0</v>
      </c>
      <c r="G21" s="1591" t="s">
        <v>434</v>
      </c>
      <c r="H21" s="445">
        <f t="shared" si="1"/>
        <v>11</v>
      </c>
      <c r="I21" s="1113"/>
      <c r="J21" s="397"/>
      <c r="K21" s="397"/>
    </row>
    <row r="22" spans="1:11" s="1189" customFormat="1">
      <c r="A22" s="445">
        <f t="shared" si="0"/>
        <v>12</v>
      </c>
      <c r="B22" s="456">
        <v>564</v>
      </c>
      <c r="C22" s="439" t="s">
        <v>153</v>
      </c>
      <c r="D22" s="316">
        <v>12.191000000000001</v>
      </c>
      <c r="E22" s="316">
        <v>0</v>
      </c>
      <c r="F22" s="316">
        <f>D22-E22</f>
        <v>12.191000000000001</v>
      </c>
      <c r="G22" s="1591" t="s">
        <v>435</v>
      </c>
      <c r="H22" s="445">
        <f t="shared" si="1"/>
        <v>12</v>
      </c>
      <c r="J22" s="397"/>
      <c r="K22" s="397"/>
    </row>
    <row r="23" spans="1:11" s="1189" customFormat="1">
      <c r="A23" s="445">
        <f t="shared" si="0"/>
        <v>13</v>
      </c>
      <c r="B23" s="456">
        <v>565</v>
      </c>
      <c r="C23" s="439" t="s">
        <v>154</v>
      </c>
      <c r="D23" s="316">
        <v>0</v>
      </c>
      <c r="E23" s="316">
        <f>E56</f>
        <v>0</v>
      </c>
      <c r="F23" s="316">
        <f t="shared" ref="F23:F24" si="4">D23-E23</f>
        <v>0</v>
      </c>
      <c r="G23" s="1591" t="s">
        <v>436</v>
      </c>
      <c r="H23" s="445">
        <f t="shared" si="1"/>
        <v>13</v>
      </c>
      <c r="J23" s="397"/>
      <c r="K23" s="397"/>
    </row>
    <row r="24" spans="1:11" s="1189" customFormat="1">
      <c r="A24" s="445">
        <f t="shared" si="0"/>
        <v>14</v>
      </c>
      <c r="B24" s="456">
        <v>566</v>
      </c>
      <c r="C24" s="439" t="s">
        <v>155</v>
      </c>
      <c r="D24" s="316">
        <v>20246.481</v>
      </c>
      <c r="E24" s="459">
        <f>E62</f>
        <v>3186.0456599999998</v>
      </c>
      <c r="F24" s="316">
        <f t="shared" si="4"/>
        <v>17060.43534</v>
      </c>
      <c r="G24" s="1591" t="s">
        <v>437</v>
      </c>
      <c r="H24" s="445">
        <f t="shared" si="1"/>
        <v>14</v>
      </c>
      <c r="J24" s="397"/>
      <c r="K24" s="397"/>
    </row>
    <row r="25" spans="1:11" s="1189" customFormat="1">
      <c r="A25" s="445">
        <f t="shared" si="0"/>
        <v>15</v>
      </c>
      <c r="B25" s="456">
        <v>567</v>
      </c>
      <c r="C25" s="439" t="s">
        <v>156</v>
      </c>
      <c r="D25" s="460">
        <v>2829.8249999999998</v>
      </c>
      <c r="E25" s="460">
        <v>0</v>
      </c>
      <c r="F25" s="460">
        <f>D25-E25</f>
        <v>2829.8249999999998</v>
      </c>
      <c r="G25" s="1591" t="s">
        <v>438</v>
      </c>
      <c r="H25" s="445">
        <f t="shared" si="1"/>
        <v>15</v>
      </c>
      <c r="J25" s="397"/>
      <c r="K25" s="397"/>
    </row>
    <row r="26" spans="1:11" s="1189" customFormat="1">
      <c r="A26" s="445">
        <f t="shared" si="0"/>
        <v>16</v>
      </c>
      <c r="B26" s="456"/>
      <c r="C26" s="439"/>
      <c r="D26" s="316"/>
      <c r="E26" s="459"/>
      <c r="F26" s="316"/>
      <c r="G26" s="457"/>
      <c r="H26" s="445">
        <f t="shared" si="1"/>
        <v>16</v>
      </c>
      <c r="J26" s="397"/>
      <c r="K26" s="397"/>
    </row>
    <row r="27" spans="1:11" s="1189" customFormat="1" ht="16.5" thickBot="1">
      <c r="A27" s="445">
        <f t="shared" si="0"/>
        <v>17</v>
      </c>
      <c r="B27" s="461"/>
      <c r="C27" s="462" t="s">
        <v>439</v>
      </c>
      <c r="D27" s="463">
        <f>SUM(D11:D25)</f>
        <v>55438.801999999996</v>
      </c>
      <c r="E27" s="464">
        <f>SUM(E11:E25)</f>
        <v>25429.88582</v>
      </c>
      <c r="F27" s="463">
        <f>SUM(F11:F25)</f>
        <v>30008.91618</v>
      </c>
      <c r="G27" s="465" t="str">
        <f>"Sum Lines "&amp;A11&amp;" thru "&amp;A25</f>
        <v>Sum Lines 1 thru 15</v>
      </c>
      <c r="H27" s="445">
        <f t="shared" si="1"/>
        <v>17</v>
      </c>
      <c r="J27" s="1565"/>
      <c r="K27" s="397"/>
    </row>
    <row r="28" spans="1:11" s="1189" customFormat="1">
      <c r="A28" s="445">
        <f t="shared" si="0"/>
        <v>18</v>
      </c>
      <c r="B28" s="466"/>
      <c r="C28" s="439"/>
      <c r="D28" s="467"/>
      <c r="E28" s="468"/>
      <c r="F28" s="467"/>
      <c r="G28" s="458"/>
      <c r="H28" s="445">
        <f t="shared" si="1"/>
        <v>18</v>
      </c>
      <c r="J28" s="397"/>
      <c r="K28" s="397"/>
    </row>
    <row r="29" spans="1:11" s="1189" customFormat="1">
      <c r="A29" s="445">
        <f t="shared" si="0"/>
        <v>19</v>
      </c>
      <c r="B29" s="452"/>
      <c r="C29" s="453" t="s">
        <v>157</v>
      </c>
      <c r="D29" s="467"/>
      <c r="E29" s="468"/>
      <c r="F29" s="467"/>
      <c r="G29" s="458"/>
      <c r="H29" s="445">
        <f t="shared" si="1"/>
        <v>19</v>
      </c>
      <c r="J29" s="397"/>
      <c r="K29" s="397"/>
    </row>
    <row r="30" spans="1:11" s="1189" customFormat="1">
      <c r="A30" s="445">
        <f t="shared" si="0"/>
        <v>20</v>
      </c>
      <c r="B30" s="456">
        <v>568</v>
      </c>
      <c r="C30" s="439" t="s">
        <v>158</v>
      </c>
      <c r="D30" s="314">
        <v>2017.028</v>
      </c>
      <c r="E30" s="314">
        <v>0</v>
      </c>
      <c r="F30" s="314">
        <f t="shared" ref="F30:F31" si="5">D30-E30</f>
        <v>2017.028</v>
      </c>
      <c r="G30" s="1591" t="s">
        <v>440</v>
      </c>
      <c r="H30" s="445">
        <f t="shared" si="1"/>
        <v>20</v>
      </c>
      <c r="J30" s="397"/>
      <c r="K30" s="397"/>
    </row>
    <row r="31" spans="1:11" s="1189" customFormat="1">
      <c r="A31" s="445">
        <f t="shared" si="0"/>
        <v>21</v>
      </c>
      <c r="B31" s="456">
        <v>569</v>
      </c>
      <c r="C31" s="439" t="s">
        <v>159</v>
      </c>
      <c r="D31" s="316">
        <v>579.452</v>
      </c>
      <c r="E31" s="459">
        <v>0</v>
      </c>
      <c r="F31" s="316">
        <f t="shared" si="5"/>
        <v>579.452</v>
      </c>
      <c r="G31" s="1591" t="s">
        <v>441</v>
      </c>
      <c r="H31" s="445">
        <f t="shared" si="1"/>
        <v>21</v>
      </c>
      <c r="J31" s="397"/>
      <c r="K31" s="397"/>
    </row>
    <row r="32" spans="1:11" s="1189" customFormat="1">
      <c r="A32" s="445">
        <f t="shared" si="0"/>
        <v>22</v>
      </c>
      <c r="B32" s="456">
        <v>569.1</v>
      </c>
      <c r="C32" s="439" t="s">
        <v>160</v>
      </c>
      <c r="D32" s="316">
        <v>1248.578</v>
      </c>
      <c r="E32" s="459">
        <v>0</v>
      </c>
      <c r="F32" s="316">
        <f>D32-E32</f>
        <v>1248.578</v>
      </c>
      <c r="G32" s="1591" t="s">
        <v>442</v>
      </c>
      <c r="H32" s="445">
        <f t="shared" si="1"/>
        <v>22</v>
      </c>
      <c r="J32" s="397"/>
      <c r="K32" s="397"/>
    </row>
    <row r="33" spans="1:11" s="1189" customFormat="1">
      <c r="A33" s="445">
        <f t="shared" si="0"/>
        <v>23</v>
      </c>
      <c r="B33" s="456">
        <v>569.20000000000005</v>
      </c>
      <c r="C33" s="439" t="s">
        <v>161</v>
      </c>
      <c r="D33" s="316">
        <v>2090.8829999999998</v>
      </c>
      <c r="E33" s="459">
        <v>0</v>
      </c>
      <c r="F33" s="316">
        <f t="shared" ref="F33:F35" si="6">D33-E33</f>
        <v>2090.8829999999998</v>
      </c>
      <c r="G33" s="1591" t="s">
        <v>443</v>
      </c>
      <c r="H33" s="445">
        <f t="shared" si="1"/>
        <v>23</v>
      </c>
      <c r="J33" s="397"/>
      <c r="K33" s="397"/>
    </row>
    <row r="34" spans="1:11" s="1189" customFormat="1">
      <c r="A34" s="445">
        <f t="shared" si="0"/>
        <v>24</v>
      </c>
      <c r="B34" s="456">
        <v>569.29999999999995</v>
      </c>
      <c r="C34" s="439" t="s">
        <v>162</v>
      </c>
      <c r="D34" s="316">
        <v>0.10299999999999999</v>
      </c>
      <c r="E34" s="459">
        <v>0</v>
      </c>
      <c r="F34" s="316">
        <f t="shared" si="6"/>
        <v>0.10299999999999999</v>
      </c>
      <c r="G34" s="1591" t="s">
        <v>444</v>
      </c>
      <c r="H34" s="445">
        <f t="shared" si="1"/>
        <v>24</v>
      </c>
      <c r="J34" s="397"/>
      <c r="K34" s="397"/>
    </row>
    <row r="35" spans="1:11" s="1189" customFormat="1">
      <c r="A35" s="445">
        <f t="shared" si="0"/>
        <v>25</v>
      </c>
      <c r="B35" s="456">
        <v>569.4</v>
      </c>
      <c r="C35" s="439" t="s">
        <v>163</v>
      </c>
      <c r="D35" s="316">
        <v>143.69999999999999</v>
      </c>
      <c r="E35" s="459">
        <v>0</v>
      </c>
      <c r="F35" s="316">
        <f t="shared" si="6"/>
        <v>143.69999999999999</v>
      </c>
      <c r="G35" s="1591" t="s">
        <v>445</v>
      </c>
      <c r="H35" s="445">
        <f t="shared" si="1"/>
        <v>25</v>
      </c>
      <c r="J35" s="397"/>
      <c r="K35" s="397"/>
    </row>
    <row r="36" spans="1:11" s="1189" customFormat="1" ht="18.75">
      <c r="A36" s="445">
        <f t="shared" si="0"/>
        <v>26</v>
      </c>
      <c r="B36" s="456">
        <v>570</v>
      </c>
      <c r="C36" s="439" t="s">
        <v>812</v>
      </c>
      <c r="D36" s="316">
        <v>16048.173000000001</v>
      </c>
      <c r="E36" s="459">
        <f>E63</f>
        <v>16048.173000000001</v>
      </c>
      <c r="F36" s="316">
        <f>D36-E36</f>
        <v>0</v>
      </c>
      <c r="G36" s="1591" t="s">
        <v>446</v>
      </c>
      <c r="H36" s="445">
        <f t="shared" si="1"/>
        <v>26</v>
      </c>
      <c r="J36" s="397"/>
      <c r="K36" s="397"/>
    </row>
    <row r="37" spans="1:11" s="1189" customFormat="1" ht="18.75">
      <c r="A37" s="445">
        <f t="shared" si="0"/>
        <v>27</v>
      </c>
      <c r="B37" s="456">
        <v>571</v>
      </c>
      <c r="C37" s="439" t="s">
        <v>813</v>
      </c>
      <c r="D37" s="316">
        <v>18139.88</v>
      </c>
      <c r="E37" s="459">
        <f>E64</f>
        <v>18139.88</v>
      </c>
      <c r="F37" s="316">
        <f t="shared" ref="F37:F38" si="7">D37-E37</f>
        <v>0</v>
      </c>
      <c r="G37" s="1591" t="s">
        <v>447</v>
      </c>
      <c r="H37" s="445">
        <f t="shared" si="1"/>
        <v>27</v>
      </c>
      <c r="J37" s="397"/>
      <c r="K37" s="397"/>
    </row>
    <row r="38" spans="1:11" s="1189" customFormat="1" ht="18.75">
      <c r="A38" s="445">
        <f t="shared" si="0"/>
        <v>28</v>
      </c>
      <c r="B38" s="456">
        <v>572</v>
      </c>
      <c r="C38" s="439" t="s">
        <v>780</v>
      </c>
      <c r="D38" s="316">
        <v>720.00900000000001</v>
      </c>
      <c r="E38" s="459">
        <f>E65</f>
        <v>720.00900000000001</v>
      </c>
      <c r="F38" s="316">
        <f t="shared" si="7"/>
        <v>0</v>
      </c>
      <c r="G38" s="457" t="s">
        <v>448</v>
      </c>
      <c r="H38" s="445">
        <f t="shared" si="1"/>
        <v>28</v>
      </c>
      <c r="J38" s="397"/>
      <c r="K38" s="397"/>
    </row>
    <row r="39" spans="1:11" s="1189" customFormat="1">
      <c r="A39" s="445">
        <f t="shared" si="0"/>
        <v>29</v>
      </c>
      <c r="B39" s="456">
        <v>573</v>
      </c>
      <c r="C39" s="439" t="s">
        <v>164</v>
      </c>
      <c r="D39" s="460">
        <v>2.7450000000000001</v>
      </c>
      <c r="E39" s="460">
        <v>0</v>
      </c>
      <c r="F39" s="460">
        <f>D39-E39</f>
        <v>2.7450000000000001</v>
      </c>
      <c r="G39" s="457" t="s">
        <v>449</v>
      </c>
      <c r="H39" s="445">
        <f t="shared" si="1"/>
        <v>29</v>
      </c>
      <c r="J39" s="397"/>
      <c r="K39" s="397"/>
    </row>
    <row r="40" spans="1:11" s="1189" customFormat="1">
      <c r="A40" s="445">
        <f t="shared" si="0"/>
        <v>30</v>
      </c>
      <c r="B40" s="456"/>
      <c r="C40" s="439"/>
      <c r="D40" s="469"/>
      <c r="E40" s="459"/>
      <c r="F40" s="469"/>
      <c r="G40" s="457"/>
      <c r="H40" s="445">
        <f t="shared" si="1"/>
        <v>30</v>
      </c>
      <c r="J40" s="397"/>
      <c r="K40" s="397"/>
    </row>
    <row r="41" spans="1:11" s="1189" customFormat="1">
      <c r="A41" s="445">
        <f t="shared" si="0"/>
        <v>31</v>
      </c>
      <c r="B41" s="466"/>
      <c r="C41" s="470" t="s">
        <v>165</v>
      </c>
      <c r="D41" s="314">
        <f>SUM(D30:D39)</f>
        <v>40990.551000000007</v>
      </c>
      <c r="E41" s="314">
        <f>SUM(E30:E39)</f>
        <v>34908.061999999998</v>
      </c>
      <c r="F41" s="314">
        <f>SUM(F30:F39)</f>
        <v>6082.4889999999996</v>
      </c>
      <c r="G41" s="457" t="str">
        <f>"Sum Lines "&amp;A30&amp;" thru "&amp;A39</f>
        <v>Sum Lines 20 thru 29</v>
      </c>
      <c r="H41" s="445">
        <f t="shared" si="1"/>
        <v>31</v>
      </c>
      <c r="J41" s="397"/>
      <c r="K41" s="397"/>
    </row>
    <row r="42" spans="1:11" s="1189" customFormat="1">
      <c r="A42" s="445">
        <f t="shared" si="0"/>
        <v>32</v>
      </c>
      <c r="B42" s="466"/>
      <c r="C42" s="439"/>
      <c r="D42" s="471"/>
      <c r="E42" s="471"/>
      <c r="F42" s="471"/>
      <c r="G42" s="457"/>
      <c r="H42" s="445">
        <f t="shared" si="1"/>
        <v>32</v>
      </c>
      <c r="J42" s="397"/>
      <c r="K42" s="397"/>
    </row>
    <row r="43" spans="1:11" s="1189" customFormat="1" ht="16.5" thickBot="1">
      <c r="A43" s="445">
        <f t="shared" si="0"/>
        <v>33</v>
      </c>
      <c r="B43" s="446"/>
      <c r="C43" s="433" t="s">
        <v>166</v>
      </c>
      <c r="D43" s="472">
        <f>D27+D41</f>
        <v>96429.353000000003</v>
      </c>
      <c r="E43" s="472">
        <f>+E27+E41</f>
        <v>60337.947820000001</v>
      </c>
      <c r="F43" s="472">
        <f>+F27+F41</f>
        <v>36091.405180000002</v>
      </c>
      <c r="G43" s="457" t="str">
        <f>"Line "&amp;A27&amp;" + Line "&amp;A41</f>
        <v>Line 17 + Line 31</v>
      </c>
      <c r="H43" s="445">
        <f t="shared" si="1"/>
        <v>33</v>
      </c>
      <c r="J43" s="397"/>
      <c r="K43" s="397"/>
    </row>
    <row r="44" spans="1:11" s="1189" customFormat="1" ht="16.5" thickTop="1">
      <c r="A44" s="445">
        <f t="shared" si="0"/>
        <v>34</v>
      </c>
      <c r="B44" s="446"/>
      <c r="C44" s="433"/>
      <c r="D44" s="485"/>
      <c r="E44" s="485"/>
      <c r="F44" s="485"/>
      <c r="G44" s="457"/>
      <c r="H44" s="445">
        <f t="shared" si="1"/>
        <v>34</v>
      </c>
      <c r="J44" s="397"/>
      <c r="K44" s="397"/>
    </row>
    <row r="45" spans="1:11" s="1189" customFormat="1" ht="18.75">
      <c r="A45" s="445">
        <f t="shared" si="0"/>
        <v>35</v>
      </c>
      <c r="B45" s="456">
        <v>413</v>
      </c>
      <c r="C45" s="439" t="s">
        <v>950</v>
      </c>
      <c r="D45" s="460">
        <v>53.468710000000002</v>
      </c>
      <c r="E45" s="460">
        <v>0</v>
      </c>
      <c r="F45" s="460">
        <f>D45-E45</f>
        <v>53.468710000000002</v>
      </c>
      <c r="G45" s="532"/>
      <c r="H45" s="445">
        <f t="shared" si="1"/>
        <v>35</v>
      </c>
      <c r="J45" s="397"/>
      <c r="K45" s="397"/>
    </row>
    <row r="46" spans="1:11" s="1189" customFormat="1">
      <c r="A46" s="445">
        <f t="shared" si="0"/>
        <v>36</v>
      </c>
      <c r="B46" s="446"/>
      <c r="C46" s="433"/>
      <c r="D46" s="485"/>
      <c r="E46" s="485"/>
      <c r="F46" s="485"/>
      <c r="G46" s="457"/>
      <c r="H46" s="445">
        <f t="shared" si="1"/>
        <v>36</v>
      </c>
      <c r="J46" s="397"/>
      <c r="K46" s="397"/>
    </row>
    <row r="47" spans="1:11" s="1189" customFormat="1" ht="16.5" thickBot="1">
      <c r="A47" s="445">
        <f t="shared" si="0"/>
        <v>37</v>
      </c>
      <c r="B47" s="446"/>
      <c r="C47" s="433" t="s">
        <v>292</v>
      </c>
      <c r="D47" s="472">
        <f>D43+D45</f>
        <v>96482.821710000004</v>
      </c>
      <c r="E47" s="472">
        <f>E43+E45</f>
        <v>60337.947820000001</v>
      </c>
      <c r="F47" s="472">
        <f>F43+F45</f>
        <v>36144.873890000003</v>
      </c>
      <c r="G47" s="457" t="str">
        <f>"Line "&amp;A43&amp;" + Line "&amp;A45</f>
        <v>Line 33 + Line 35</v>
      </c>
      <c r="H47" s="445">
        <f t="shared" si="1"/>
        <v>37</v>
      </c>
      <c r="J47" s="397"/>
      <c r="K47" s="397"/>
    </row>
    <row r="48" spans="1:11" ht="17.25" thickTop="1" thickBot="1">
      <c r="A48" s="445">
        <f t="shared" si="0"/>
        <v>38</v>
      </c>
      <c r="B48" s="473"/>
      <c r="C48" s="474"/>
      <c r="D48" s="475"/>
      <c r="E48" s="476"/>
      <c r="F48" s="475"/>
      <c r="G48" s="477"/>
      <c r="H48" s="445">
        <f t="shared" si="1"/>
        <v>38</v>
      </c>
    </row>
    <row r="49" spans="1:8">
      <c r="A49" s="445">
        <f t="shared" si="0"/>
        <v>39</v>
      </c>
      <c r="B49" s="478"/>
      <c r="C49" s="439"/>
      <c r="D49" s="479"/>
      <c r="E49" s="468"/>
      <c r="F49" s="479"/>
      <c r="G49" s="480"/>
      <c r="H49" s="445">
        <f t="shared" si="1"/>
        <v>39</v>
      </c>
    </row>
    <row r="50" spans="1:8" s="4" customFormat="1">
      <c r="A50" s="445">
        <f t="shared" si="0"/>
        <v>40</v>
      </c>
      <c r="B50" s="489" t="s">
        <v>167</v>
      </c>
      <c r="C50" s="11"/>
      <c r="D50" s="14"/>
      <c r="E50" s="13"/>
      <c r="F50" s="14"/>
      <c r="G50" s="494"/>
      <c r="H50" s="445">
        <f t="shared" si="1"/>
        <v>40</v>
      </c>
    </row>
    <row r="51" spans="1:8" s="4" customFormat="1">
      <c r="A51" s="445">
        <f t="shared" si="0"/>
        <v>41</v>
      </c>
      <c r="B51" s="488" t="s">
        <v>1033</v>
      </c>
      <c r="C51" s="11" t="s">
        <v>1034</v>
      </c>
      <c r="D51" s="14"/>
      <c r="E51" s="1620">
        <v>132.11562000000001</v>
      </c>
      <c r="F51" s="14"/>
      <c r="G51" s="494"/>
      <c r="H51" s="445"/>
    </row>
    <row r="52" spans="1:8" s="4" customFormat="1">
      <c r="A52" s="445">
        <f t="shared" si="0"/>
        <v>42</v>
      </c>
      <c r="B52" s="488">
        <v>561.4</v>
      </c>
      <c r="C52" s="11" t="s">
        <v>168</v>
      </c>
      <c r="D52" s="14"/>
      <c r="E52" s="12">
        <v>5093.2442599999995</v>
      </c>
      <c r="F52" s="1287"/>
      <c r="G52" s="494"/>
      <c r="H52" s="445">
        <f>H50+1</f>
        <v>41</v>
      </c>
    </row>
    <row r="53" spans="1:8" s="4" customFormat="1">
      <c r="A53" s="445">
        <f t="shared" si="0"/>
        <v>43</v>
      </c>
      <c r="B53" s="488">
        <v>561.79999999999995</v>
      </c>
      <c r="C53" s="11" t="s">
        <v>169</v>
      </c>
      <c r="D53" s="14"/>
      <c r="E53" s="12">
        <v>2418.7412800000002</v>
      </c>
      <c r="F53" s="1287"/>
      <c r="G53" s="494"/>
      <c r="H53" s="445">
        <f t="shared" si="1"/>
        <v>42</v>
      </c>
    </row>
    <row r="54" spans="1:8" s="4" customFormat="1" ht="18.75">
      <c r="A54" s="445">
        <f t="shared" si="0"/>
        <v>44</v>
      </c>
      <c r="B54" s="488">
        <v>562</v>
      </c>
      <c r="C54" s="19" t="s">
        <v>451</v>
      </c>
      <c r="D54" s="14"/>
      <c r="E54" s="12">
        <v>6283.7089999999998</v>
      </c>
      <c r="F54" s="1287"/>
      <c r="G54" s="494"/>
      <c r="H54" s="445">
        <f t="shared" si="1"/>
        <v>43</v>
      </c>
    </row>
    <row r="55" spans="1:8" s="4" customFormat="1">
      <c r="A55" s="445">
        <f t="shared" si="0"/>
        <v>45</v>
      </c>
      <c r="B55" s="488">
        <v>563</v>
      </c>
      <c r="C55" s="19" t="s">
        <v>450</v>
      </c>
      <c r="D55" s="14"/>
      <c r="E55" s="12">
        <v>8316.0300000000007</v>
      </c>
      <c r="F55" s="1287"/>
      <c r="G55" s="494"/>
      <c r="H55" s="445">
        <f t="shared" si="1"/>
        <v>44</v>
      </c>
    </row>
    <row r="56" spans="1:8" s="4" customFormat="1">
      <c r="A56" s="445">
        <f t="shared" si="0"/>
        <v>46</v>
      </c>
      <c r="B56" s="488">
        <v>565</v>
      </c>
      <c r="C56" s="11" t="s">
        <v>170</v>
      </c>
      <c r="D56" s="14"/>
      <c r="E56" s="12">
        <v>0</v>
      </c>
      <c r="F56" s="1287"/>
      <c r="G56" s="494"/>
      <c r="H56" s="445">
        <f t="shared" si="1"/>
        <v>45</v>
      </c>
    </row>
    <row r="57" spans="1:8" s="4" customFormat="1">
      <c r="A57" s="445">
        <f t="shared" si="0"/>
        <v>47</v>
      </c>
      <c r="B57" s="488">
        <v>566</v>
      </c>
      <c r="C57" s="11" t="s">
        <v>171</v>
      </c>
      <c r="D57" s="14"/>
      <c r="E57" s="12"/>
      <c r="F57" s="14"/>
      <c r="G57" s="494"/>
      <c r="H57" s="445">
        <f t="shared" si="1"/>
        <v>46</v>
      </c>
    </row>
    <row r="58" spans="1:8" s="4" customFormat="1">
      <c r="A58" s="445">
        <f t="shared" si="0"/>
        <v>48</v>
      </c>
      <c r="B58" s="490"/>
      <c r="C58" s="11" t="s">
        <v>172</v>
      </c>
      <c r="D58" s="15">
        <v>251.79454000000001</v>
      </c>
      <c r="E58" s="12"/>
      <c r="F58" s="14"/>
      <c r="G58" s="494"/>
      <c r="H58" s="445">
        <f t="shared" si="1"/>
        <v>47</v>
      </c>
    </row>
    <row r="59" spans="1:8" s="4" customFormat="1">
      <c r="A59" s="445">
        <f t="shared" si="0"/>
        <v>49</v>
      </c>
      <c r="B59" s="490"/>
      <c r="C59" s="11" t="s">
        <v>173</v>
      </c>
      <c r="D59" s="12">
        <v>0</v>
      </c>
      <c r="E59" s="12"/>
      <c r="F59" s="14"/>
      <c r="G59" s="494"/>
      <c r="H59" s="445">
        <f t="shared" si="1"/>
        <v>48</v>
      </c>
    </row>
    <row r="60" spans="1:8" s="4" customFormat="1">
      <c r="A60" s="445">
        <f t="shared" si="0"/>
        <v>50</v>
      </c>
      <c r="B60" s="490"/>
      <c r="C60" s="11" t="s">
        <v>174</v>
      </c>
      <c r="D60" s="12">
        <v>2588.4315500000002</v>
      </c>
      <c r="E60" s="12"/>
      <c r="F60" s="14"/>
      <c r="G60" s="494"/>
      <c r="H60" s="445">
        <f t="shared" si="1"/>
        <v>49</v>
      </c>
    </row>
    <row r="61" spans="1:8" s="4" customFormat="1">
      <c r="A61" s="445">
        <f t="shared" si="0"/>
        <v>51</v>
      </c>
      <c r="B61" s="490"/>
      <c r="C61" s="11" t="s">
        <v>175</v>
      </c>
      <c r="D61" s="12">
        <v>700.79813999999988</v>
      </c>
      <c r="E61" s="12"/>
      <c r="F61" s="14"/>
      <c r="G61" s="494"/>
      <c r="H61" s="445">
        <f t="shared" si="1"/>
        <v>50</v>
      </c>
    </row>
    <row r="62" spans="1:8" s="4" customFormat="1">
      <c r="A62" s="445">
        <f t="shared" si="0"/>
        <v>52</v>
      </c>
      <c r="B62" s="490"/>
      <c r="C62" s="11" t="s">
        <v>176</v>
      </c>
      <c r="D62" s="487">
        <v>-354.97856999999999</v>
      </c>
      <c r="E62" s="12">
        <f>SUM(D58:D62)</f>
        <v>3186.0456599999998</v>
      </c>
      <c r="F62" s="1287"/>
      <c r="G62" s="494"/>
      <c r="H62" s="445">
        <f t="shared" si="1"/>
        <v>51</v>
      </c>
    </row>
    <row r="63" spans="1:8" s="4" customFormat="1" ht="18.75">
      <c r="A63" s="445">
        <f t="shared" si="0"/>
        <v>53</v>
      </c>
      <c r="B63" s="488">
        <v>570</v>
      </c>
      <c r="C63" s="92" t="s">
        <v>452</v>
      </c>
      <c r="D63" s="12"/>
      <c r="E63" s="12">
        <v>16048.173000000001</v>
      </c>
      <c r="F63" s="1287"/>
      <c r="G63" s="494"/>
      <c r="H63" s="445">
        <f t="shared" si="1"/>
        <v>52</v>
      </c>
    </row>
    <row r="64" spans="1:8" s="4" customFormat="1" ht="18.75">
      <c r="A64" s="445">
        <f t="shared" si="0"/>
        <v>54</v>
      </c>
      <c r="B64" s="488">
        <v>571</v>
      </c>
      <c r="C64" s="92" t="s">
        <v>779</v>
      </c>
      <c r="D64" s="12"/>
      <c r="E64" s="12">
        <v>18139.88</v>
      </c>
      <c r="F64" s="1287"/>
      <c r="G64" s="494"/>
      <c r="H64" s="445">
        <f t="shared" si="1"/>
        <v>53</v>
      </c>
    </row>
    <row r="65" spans="1:9" s="4" customFormat="1" ht="18.75">
      <c r="A65" s="445">
        <f t="shared" si="0"/>
        <v>55</v>
      </c>
      <c r="B65" s="488">
        <v>572</v>
      </c>
      <c r="C65" s="1288" t="s">
        <v>780</v>
      </c>
      <c r="D65" s="12"/>
      <c r="E65" s="487">
        <v>720.00900000000001</v>
      </c>
      <c r="F65" s="14"/>
      <c r="G65" s="494"/>
      <c r="H65" s="445">
        <f t="shared" si="1"/>
        <v>54</v>
      </c>
    </row>
    <row r="66" spans="1:9" s="4" customFormat="1">
      <c r="A66" s="445">
        <f t="shared" si="0"/>
        <v>56</v>
      </c>
      <c r="B66" s="491"/>
      <c r="C66" s="11"/>
      <c r="D66" s="14"/>
      <c r="E66" s="552"/>
      <c r="F66" s="14"/>
      <c r="G66" s="494"/>
      <c r="H66" s="445">
        <f t="shared" si="1"/>
        <v>55</v>
      </c>
    </row>
    <row r="67" spans="1:9" s="4" customFormat="1" ht="16.5" thickBot="1">
      <c r="A67" s="445">
        <f t="shared" si="0"/>
        <v>57</v>
      </c>
      <c r="B67" s="492"/>
      <c r="C67" s="997" t="s">
        <v>177</v>
      </c>
      <c r="D67" s="14"/>
      <c r="E67" s="551">
        <f>SUM(E51:E65)</f>
        <v>60337.947819999994</v>
      </c>
      <c r="F67" s="14"/>
      <c r="G67" s="494"/>
      <c r="H67" s="445">
        <f t="shared" si="1"/>
        <v>56</v>
      </c>
    </row>
    <row r="68" spans="1:9" s="4" customFormat="1" ht="16.5" thickTop="1">
      <c r="A68" s="445">
        <f t="shared" si="0"/>
        <v>58</v>
      </c>
      <c r="B68" s="492"/>
      <c r="C68" s="92"/>
      <c r="D68" s="14"/>
      <c r="E68" s="167"/>
      <c r="F68" s="14"/>
      <c r="G68" s="494"/>
      <c r="H68" s="445">
        <f t="shared" si="1"/>
        <v>57</v>
      </c>
    </row>
    <row r="69" spans="1:9" s="4" customFormat="1">
      <c r="A69" s="445">
        <f t="shared" si="0"/>
        <v>59</v>
      </c>
      <c r="B69" s="492"/>
      <c r="C69" s="92"/>
      <c r="D69" s="14"/>
      <c r="E69" s="12"/>
      <c r="F69" s="14"/>
      <c r="G69" s="494"/>
      <c r="H69" s="445">
        <f t="shared" si="1"/>
        <v>58</v>
      </c>
      <c r="I69" s="10"/>
    </row>
    <row r="70" spans="1:9" s="4" customFormat="1" ht="18.75">
      <c r="A70" s="445">
        <f t="shared" si="0"/>
        <v>60</v>
      </c>
      <c r="B70" s="493">
        <v>1</v>
      </c>
      <c r="C70" s="92" t="s">
        <v>967</v>
      </c>
      <c r="D70" s="14"/>
      <c r="E70" s="16"/>
      <c r="F70" s="14"/>
      <c r="G70" s="494"/>
      <c r="H70" s="445">
        <f t="shared" si="1"/>
        <v>59</v>
      </c>
    </row>
    <row r="71" spans="1:9" s="4" customFormat="1" ht="18.75">
      <c r="A71" s="445">
        <f t="shared" si="0"/>
        <v>61</v>
      </c>
      <c r="B71" s="493"/>
      <c r="C71" s="92" t="s">
        <v>648</v>
      </c>
      <c r="D71" s="14"/>
      <c r="E71" s="16"/>
      <c r="F71" s="14"/>
      <c r="G71" s="494"/>
      <c r="H71" s="445">
        <f t="shared" si="1"/>
        <v>60</v>
      </c>
    </row>
    <row r="72" spans="1:9" s="4" customFormat="1" ht="18.75">
      <c r="A72" s="445">
        <f t="shared" si="0"/>
        <v>62</v>
      </c>
      <c r="B72" s="493">
        <v>2</v>
      </c>
      <c r="C72" s="92" t="s">
        <v>781</v>
      </c>
      <c r="D72" s="11"/>
      <c r="E72" s="16"/>
      <c r="F72" s="11"/>
      <c r="G72" s="494"/>
      <c r="H72" s="445">
        <f t="shared" si="1"/>
        <v>61</v>
      </c>
    </row>
    <row r="73" spans="1:9" s="4" customFormat="1" ht="18.75">
      <c r="A73" s="445">
        <f t="shared" si="0"/>
        <v>63</v>
      </c>
      <c r="B73" s="493">
        <v>3</v>
      </c>
      <c r="C73" s="92" t="str">
        <f>"This amount represents the Direct Maintenance and Non-Direct O&amp;M expenses billed to Citizens in "&amp;Automation!B3&amp;", which is added back to derive Total Adjusted Electric"</f>
        <v>This amount represents the Direct Maintenance and Non-Direct O&amp;M expenses billed to Citizens in 2019, which is added back to derive Total Adjusted Electric</v>
      </c>
      <c r="D73" s="11"/>
      <c r="E73" s="16"/>
      <c r="F73" s="11"/>
      <c r="G73" s="494"/>
      <c r="H73" s="445">
        <f t="shared" si="1"/>
        <v>62</v>
      </c>
    </row>
    <row r="74" spans="1:9" s="4" customFormat="1" ht="18.75">
      <c r="A74" s="445">
        <f t="shared" si="0"/>
        <v>64</v>
      </c>
      <c r="B74" s="493"/>
      <c r="C74" s="92" t="s">
        <v>949</v>
      </c>
      <c r="D74" s="11"/>
      <c r="E74" s="16"/>
      <c r="F74" s="11"/>
      <c r="G74" s="494"/>
      <c r="H74" s="445">
        <f t="shared" si="1"/>
        <v>63</v>
      </c>
    </row>
    <row r="75" spans="1:9" ht="16.5" thickBot="1">
      <c r="A75" s="445">
        <f t="shared" si="0"/>
        <v>65</v>
      </c>
      <c r="B75" s="482"/>
      <c r="C75" s="474"/>
      <c r="D75" s="474"/>
      <c r="E75" s="483"/>
      <c r="F75" s="474"/>
      <c r="G75" s="477"/>
      <c r="H75" s="445">
        <f t="shared" si="1"/>
        <v>64</v>
      </c>
    </row>
    <row r="76" spans="1:9">
      <c r="A76" s="445"/>
      <c r="B76" s="484"/>
    </row>
    <row r="77" spans="1:9" ht="18.75">
      <c r="A77" s="445"/>
      <c r="B77" s="226"/>
      <c r="C77" s="4"/>
      <c r="D77" s="113"/>
      <c r="E77" s="113"/>
      <c r="F77" s="113"/>
    </row>
    <row r="78" spans="1:9" ht="18.75">
      <c r="A78" s="445"/>
      <c r="B78" s="226"/>
      <c r="C78" s="106"/>
      <c r="D78" s="113"/>
      <c r="E78" s="113"/>
      <c r="F78" s="113"/>
    </row>
    <row r="79" spans="1:9" ht="18.75">
      <c r="A79" s="445"/>
      <c r="B79" s="226"/>
      <c r="C79" s="106"/>
      <c r="D79" s="113"/>
      <c r="E79" s="113"/>
      <c r="F79" s="113"/>
    </row>
    <row r="80" spans="1:9">
      <c r="A80" s="445"/>
      <c r="B80" s="484"/>
    </row>
    <row r="81" spans="1:5">
      <c r="A81" s="445"/>
      <c r="B81" s="484"/>
    </row>
    <row r="82" spans="1:5">
      <c r="A82" s="445"/>
      <c r="B82" s="484"/>
    </row>
    <row r="83" spans="1:5">
      <c r="A83" s="445"/>
      <c r="B83" s="484"/>
    </row>
    <row r="84" spans="1:5">
      <c r="A84" s="445"/>
      <c r="B84" s="484"/>
    </row>
    <row r="85" spans="1:5">
      <c r="A85" s="445"/>
      <c r="B85" s="484"/>
    </row>
    <row r="86" spans="1:5">
      <c r="A86" s="445"/>
      <c r="B86" s="484"/>
    </row>
    <row r="87" spans="1:5">
      <c r="A87" s="445"/>
      <c r="B87" s="484"/>
    </row>
    <row r="88" spans="1:5">
      <c r="A88" s="445"/>
      <c r="B88" s="484"/>
    </row>
    <row r="89" spans="1:5">
      <c r="A89" s="445"/>
      <c r="B89" s="484"/>
      <c r="E89" s="397"/>
    </row>
    <row r="90" spans="1:5">
      <c r="A90" s="445"/>
      <c r="B90" s="484"/>
      <c r="E90" s="397"/>
    </row>
    <row r="91" spans="1:5">
      <c r="A91" s="445"/>
      <c r="B91" s="484"/>
      <c r="E91" s="397"/>
    </row>
    <row r="92" spans="1:5">
      <c r="A92" s="445"/>
      <c r="B92" s="484"/>
      <c r="E92" s="397"/>
    </row>
    <row r="93" spans="1:5">
      <c r="A93" s="445"/>
      <c r="B93" s="484"/>
      <c r="E93" s="397"/>
    </row>
    <row r="94" spans="1:5">
      <c r="A94" s="445"/>
      <c r="B94" s="484"/>
      <c r="E94" s="397"/>
    </row>
    <row r="95" spans="1:5">
      <c r="A95" s="445"/>
      <c r="B95" s="484"/>
      <c r="E95" s="397"/>
    </row>
    <row r="96" spans="1:5">
      <c r="A96" s="445"/>
      <c r="B96" s="484"/>
      <c r="E96" s="397"/>
    </row>
    <row r="97" spans="1:5">
      <c r="A97" s="445"/>
      <c r="B97" s="484"/>
      <c r="E97" s="397"/>
    </row>
    <row r="98" spans="1:5">
      <c r="A98" s="445"/>
      <c r="B98" s="484"/>
      <c r="E98" s="397"/>
    </row>
    <row r="99" spans="1:5">
      <c r="A99" s="445"/>
      <c r="B99" s="484"/>
      <c r="E99" s="397"/>
    </row>
    <row r="100" spans="1:5">
      <c r="A100" s="445"/>
      <c r="B100" s="484"/>
      <c r="E100" s="397"/>
    </row>
    <row r="101" spans="1:5">
      <c r="A101" s="445"/>
      <c r="B101" s="484"/>
      <c r="E101" s="397"/>
    </row>
    <row r="102" spans="1:5">
      <c r="A102" s="445"/>
      <c r="B102" s="484"/>
      <c r="E102" s="397"/>
    </row>
    <row r="103" spans="1:5">
      <c r="B103" s="484"/>
      <c r="E103" s="397"/>
    </row>
    <row r="104" spans="1:5">
      <c r="B104" s="484"/>
      <c r="E104" s="397"/>
    </row>
    <row r="105" spans="1:5">
      <c r="B105" s="484"/>
      <c r="E105" s="397"/>
    </row>
    <row r="106" spans="1:5">
      <c r="B106" s="484"/>
      <c r="E106" s="397"/>
    </row>
    <row r="107" spans="1:5">
      <c r="B107" s="484"/>
      <c r="E107" s="397"/>
    </row>
    <row r="108" spans="1:5">
      <c r="B108" s="484"/>
      <c r="E108" s="397"/>
    </row>
    <row r="109" spans="1:5">
      <c r="B109" s="484"/>
      <c r="E109" s="397"/>
    </row>
    <row r="110" spans="1:5">
      <c r="B110" s="484"/>
      <c r="E110" s="397"/>
    </row>
    <row r="111" spans="1:5">
      <c r="B111" s="484"/>
      <c r="E111" s="397"/>
    </row>
    <row r="112" spans="1:5">
      <c r="B112" s="484"/>
      <c r="E112" s="397"/>
    </row>
    <row r="113" spans="2:5">
      <c r="B113" s="484"/>
      <c r="E113" s="397"/>
    </row>
    <row r="114" spans="2:5">
      <c r="B114" s="484"/>
      <c r="E114" s="397"/>
    </row>
    <row r="115" spans="2:5">
      <c r="B115" s="484"/>
      <c r="E115" s="397"/>
    </row>
    <row r="116" spans="2:5">
      <c r="B116" s="484"/>
      <c r="E116" s="397"/>
    </row>
    <row r="117" spans="2:5">
      <c r="B117" s="484"/>
      <c r="E117" s="397"/>
    </row>
    <row r="118" spans="2:5">
      <c r="B118" s="484"/>
      <c r="E118" s="397"/>
    </row>
    <row r="119" spans="2:5">
      <c r="B119" s="484"/>
      <c r="E119" s="397"/>
    </row>
    <row r="120" spans="2:5">
      <c r="B120" s="484"/>
      <c r="E120" s="397"/>
    </row>
    <row r="121" spans="2:5">
      <c r="B121" s="484"/>
      <c r="E121" s="397"/>
    </row>
    <row r="122" spans="2:5">
      <c r="B122" s="484"/>
      <c r="E122" s="397"/>
    </row>
    <row r="123" spans="2:5">
      <c r="B123" s="484"/>
      <c r="E123" s="397"/>
    </row>
    <row r="124" spans="2:5">
      <c r="B124" s="484"/>
      <c r="E124" s="397"/>
    </row>
    <row r="125" spans="2:5">
      <c r="B125" s="484"/>
      <c r="E125" s="397"/>
    </row>
    <row r="126" spans="2:5">
      <c r="B126" s="484"/>
      <c r="E126" s="397"/>
    </row>
    <row r="127" spans="2:5">
      <c r="B127" s="484"/>
      <c r="E127" s="397"/>
    </row>
    <row r="128" spans="2:5">
      <c r="B128" s="484"/>
      <c r="E128" s="397"/>
    </row>
    <row r="129" spans="2:5">
      <c r="B129" s="484"/>
      <c r="E129" s="397"/>
    </row>
    <row r="130" spans="2:5">
      <c r="B130" s="484"/>
      <c r="E130" s="397"/>
    </row>
    <row r="131" spans="2:5">
      <c r="B131" s="484"/>
      <c r="E131" s="397"/>
    </row>
    <row r="132" spans="2:5">
      <c r="B132" s="484"/>
      <c r="E132" s="397"/>
    </row>
    <row r="133" spans="2:5">
      <c r="B133" s="484"/>
      <c r="E133" s="397"/>
    </row>
    <row r="134" spans="2:5">
      <c r="B134" s="484"/>
      <c r="E134" s="397"/>
    </row>
    <row r="135" spans="2:5">
      <c r="B135" s="484"/>
      <c r="E135" s="397"/>
    </row>
    <row r="136" spans="2:5">
      <c r="B136" s="484"/>
      <c r="E136" s="397"/>
    </row>
    <row r="137" spans="2:5">
      <c r="B137" s="484"/>
      <c r="E137" s="397"/>
    </row>
    <row r="138" spans="2:5">
      <c r="B138" s="484"/>
      <c r="E138" s="397"/>
    </row>
    <row r="139" spans="2:5">
      <c r="B139" s="484"/>
      <c r="E139" s="397"/>
    </row>
    <row r="140" spans="2:5">
      <c r="B140" s="484"/>
      <c r="E140" s="397"/>
    </row>
    <row r="141" spans="2:5">
      <c r="B141" s="484"/>
      <c r="E141" s="397"/>
    </row>
    <row r="142" spans="2:5">
      <c r="B142" s="484"/>
      <c r="E142" s="397"/>
    </row>
    <row r="143" spans="2:5">
      <c r="B143" s="484"/>
      <c r="E143" s="397"/>
    </row>
    <row r="144" spans="2:5">
      <c r="B144" s="484"/>
      <c r="E144" s="397"/>
    </row>
    <row r="145" spans="2:5">
      <c r="B145" s="484"/>
      <c r="E145" s="397"/>
    </row>
    <row r="146" spans="2:5">
      <c r="B146" s="484"/>
      <c r="E146" s="397"/>
    </row>
    <row r="147" spans="2:5">
      <c r="B147" s="484"/>
      <c r="E147" s="397"/>
    </row>
    <row r="148" spans="2:5">
      <c r="B148" s="484"/>
      <c r="E148" s="397"/>
    </row>
    <row r="149" spans="2:5">
      <c r="B149" s="484"/>
      <c r="E149" s="397"/>
    </row>
    <row r="150" spans="2:5">
      <c r="B150" s="484"/>
      <c r="E150" s="397"/>
    </row>
    <row r="151" spans="2:5">
      <c r="B151" s="484"/>
      <c r="E151" s="397"/>
    </row>
    <row r="152" spans="2:5">
      <c r="B152" s="484"/>
      <c r="E152" s="397"/>
    </row>
    <row r="153" spans="2:5">
      <c r="B153" s="484"/>
      <c r="E153" s="397"/>
    </row>
    <row r="154" spans="2:5">
      <c r="B154" s="484"/>
      <c r="E154" s="397"/>
    </row>
    <row r="155" spans="2:5">
      <c r="B155" s="484"/>
      <c r="E155" s="397"/>
    </row>
    <row r="156" spans="2:5">
      <c r="B156" s="484"/>
      <c r="E156" s="397"/>
    </row>
    <row r="157" spans="2:5">
      <c r="B157" s="484"/>
      <c r="E157" s="397"/>
    </row>
    <row r="158" spans="2:5">
      <c r="B158" s="484"/>
      <c r="E158" s="397"/>
    </row>
    <row r="159" spans="2:5">
      <c r="B159" s="484"/>
      <c r="E159" s="397"/>
    </row>
    <row r="160" spans="2:5">
      <c r="B160" s="484"/>
      <c r="E160" s="397"/>
    </row>
    <row r="161" spans="2:5">
      <c r="B161" s="484"/>
      <c r="E161" s="397"/>
    </row>
    <row r="162" spans="2:5">
      <c r="B162" s="484"/>
      <c r="E162" s="397"/>
    </row>
    <row r="163" spans="2:5">
      <c r="B163" s="484"/>
      <c r="E163" s="397"/>
    </row>
    <row r="164" spans="2:5">
      <c r="B164" s="484"/>
      <c r="E164" s="397"/>
    </row>
    <row r="165" spans="2:5">
      <c r="B165" s="484"/>
      <c r="E165" s="397"/>
    </row>
    <row r="166" spans="2:5">
      <c r="B166" s="484"/>
      <c r="E166" s="397"/>
    </row>
    <row r="167" spans="2:5">
      <c r="B167" s="484"/>
      <c r="E167" s="397"/>
    </row>
    <row r="168" spans="2:5">
      <c r="B168" s="484"/>
      <c r="E168" s="397"/>
    </row>
    <row r="169" spans="2:5">
      <c r="B169" s="484"/>
      <c r="E169" s="397"/>
    </row>
    <row r="170" spans="2:5">
      <c r="B170" s="484"/>
      <c r="E170" s="397"/>
    </row>
    <row r="171" spans="2:5">
      <c r="B171" s="484"/>
      <c r="E171" s="397"/>
    </row>
    <row r="172" spans="2:5">
      <c r="B172" s="484"/>
      <c r="E172" s="397"/>
    </row>
    <row r="173" spans="2:5">
      <c r="B173" s="484"/>
      <c r="E173" s="397"/>
    </row>
    <row r="174" spans="2:5">
      <c r="B174" s="484"/>
      <c r="E174" s="397"/>
    </row>
    <row r="175" spans="2:5">
      <c r="B175" s="484"/>
      <c r="E175" s="397"/>
    </row>
    <row r="176" spans="2:5">
      <c r="B176" s="484"/>
      <c r="E176" s="397"/>
    </row>
    <row r="177" spans="2:5">
      <c r="B177" s="484"/>
      <c r="E177" s="397"/>
    </row>
    <row r="178" spans="2:5">
      <c r="B178" s="484"/>
      <c r="E178" s="397"/>
    </row>
    <row r="179" spans="2:5">
      <c r="B179" s="484"/>
      <c r="E179" s="397"/>
    </row>
    <row r="180" spans="2:5">
      <c r="B180" s="484"/>
      <c r="E180" s="397"/>
    </row>
    <row r="181" spans="2:5">
      <c r="B181" s="484"/>
      <c r="E181" s="397"/>
    </row>
    <row r="182" spans="2:5">
      <c r="B182" s="484"/>
      <c r="E182" s="397"/>
    </row>
    <row r="183" spans="2:5">
      <c r="B183" s="484"/>
      <c r="E183" s="397"/>
    </row>
    <row r="184" spans="2:5">
      <c r="B184" s="484"/>
      <c r="E184" s="397"/>
    </row>
    <row r="185" spans="2:5">
      <c r="B185" s="484"/>
      <c r="E185" s="397"/>
    </row>
    <row r="186" spans="2:5">
      <c r="B186" s="484"/>
      <c r="E186" s="397"/>
    </row>
    <row r="187" spans="2:5">
      <c r="B187" s="484"/>
      <c r="E187" s="397"/>
    </row>
    <row r="188" spans="2:5">
      <c r="B188" s="484"/>
      <c r="E188" s="397"/>
    </row>
    <row r="189" spans="2:5">
      <c r="B189" s="484"/>
      <c r="E189" s="397"/>
    </row>
    <row r="190" spans="2:5">
      <c r="B190" s="484"/>
      <c r="E190" s="397"/>
    </row>
    <row r="191" spans="2:5">
      <c r="B191" s="484"/>
      <c r="E191" s="397"/>
    </row>
    <row r="192" spans="2:5">
      <c r="B192" s="484"/>
      <c r="E192" s="397"/>
    </row>
    <row r="193" spans="2:5">
      <c r="B193" s="484"/>
      <c r="E193" s="397"/>
    </row>
    <row r="194" spans="2:5">
      <c r="B194" s="484"/>
      <c r="E194" s="397"/>
    </row>
    <row r="195" spans="2:5">
      <c r="B195" s="484"/>
      <c r="E195" s="397"/>
    </row>
    <row r="196" spans="2:5">
      <c r="B196" s="484"/>
      <c r="E196" s="397"/>
    </row>
    <row r="197" spans="2:5">
      <c r="B197" s="484"/>
      <c r="E197" s="397"/>
    </row>
    <row r="198" spans="2:5">
      <c r="B198" s="484"/>
      <c r="E198" s="397"/>
    </row>
    <row r="199" spans="2:5">
      <c r="B199" s="484"/>
      <c r="E199" s="397"/>
    </row>
    <row r="200" spans="2:5">
      <c r="B200" s="484"/>
      <c r="E200" s="397"/>
    </row>
    <row r="201" spans="2:5">
      <c r="B201" s="484"/>
      <c r="E201" s="397"/>
    </row>
    <row r="202" spans="2:5">
      <c r="B202" s="484"/>
      <c r="E202" s="397"/>
    </row>
    <row r="203" spans="2:5">
      <c r="B203" s="484"/>
      <c r="E203" s="397"/>
    </row>
    <row r="204" spans="2:5">
      <c r="B204" s="484"/>
      <c r="E204" s="397"/>
    </row>
    <row r="205" spans="2:5">
      <c r="B205" s="484"/>
      <c r="E205" s="397"/>
    </row>
    <row r="206" spans="2:5">
      <c r="B206" s="484"/>
      <c r="E206" s="397"/>
    </row>
    <row r="207" spans="2:5">
      <c r="B207" s="484"/>
      <c r="E207" s="397"/>
    </row>
    <row r="208" spans="2:5">
      <c r="B208" s="484"/>
      <c r="E208" s="397"/>
    </row>
    <row r="209" spans="2:5">
      <c r="B209" s="484"/>
      <c r="E209" s="397"/>
    </row>
    <row r="210" spans="2:5">
      <c r="B210" s="484"/>
      <c r="E210" s="397"/>
    </row>
    <row r="211" spans="2:5">
      <c r="B211" s="484"/>
      <c r="E211" s="397"/>
    </row>
    <row r="212" spans="2:5">
      <c r="B212" s="484"/>
      <c r="E212" s="397"/>
    </row>
    <row r="213" spans="2:5">
      <c r="B213" s="484"/>
      <c r="E213" s="397"/>
    </row>
    <row r="214" spans="2:5">
      <c r="B214" s="484"/>
      <c r="E214" s="397"/>
    </row>
    <row r="215" spans="2:5">
      <c r="B215" s="484"/>
      <c r="E215" s="397"/>
    </row>
    <row r="216" spans="2:5">
      <c r="B216" s="484"/>
      <c r="E216" s="397"/>
    </row>
    <row r="217" spans="2:5">
      <c r="B217" s="484"/>
      <c r="E217" s="397"/>
    </row>
    <row r="218" spans="2:5">
      <c r="B218" s="484"/>
      <c r="E218" s="397"/>
    </row>
    <row r="219" spans="2:5">
      <c r="B219" s="484"/>
      <c r="E219" s="397"/>
    </row>
    <row r="220" spans="2:5">
      <c r="B220" s="484"/>
      <c r="E220" s="397"/>
    </row>
    <row r="221" spans="2:5">
      <c r="B221" s="484"/>
      <c r="E221" s="397"/>
    </row>
    <row r="222" spans="2:5">
      <c r="B222" s="484"/>
      <c r="E222" s="397"/>
    </row>
    <row r="223" spans="2:5">
      <c r="B223" s="484"/>
      <c r="E223" s="397"/>
    </row>
    <row r="224" spans="2:5">
      <c r="B224" s="484"/>
      <c r="E224" s="397"/>
    </row>
    <row r="225" spans="2:5">
      <c r="B225" s="484"/>
      <c r="E225" s="397"/>
    </row>
    <row r="226" spans="2:5">
      <c r="B226" s="484"/>
      <c r="E226" s="397"/>
    </row>
    <row r="227" spans="2:5">
      <c r="B227" s="484"/>
      <c r="E227" s="397"/>
    </row>
    <row r="228" spans="2:5">
      <c r="B228" s="484"/>
      <c r="E228" s="397"/>
    </row>
    <row r="229" spans="2:5">
      <c r="B229" s="484"/>
      <c r="E229" s="397"/>
    </row>
    <row r="230" spans="2:5">
      <c r="B230" s="484"/>
      <c r="E230" s="397"/>
    </row>
    <row r="231" spans="2:5">
      <c r="B231" s="484"/>
      <c r="E231" s="397"/>
    </row>
    <row r="232" spans="2:5">
      <c r="B232" s="484"/>
      <c r="E232" s="397"/>
    </row>
    <row r="233" spans="2:5">
      <c r="B233" s="484"/>
      <c r="E233" s="397"/>
    </row>
    <row r="234" spans="2:5">
      <c r="B234" s="484"/>
      <c r="E234" s="397"/>
    </row>
    <row r="235" spans="2:5">
      <c r="B235" s="484"/>
      <c r="E235" s="397"/>
    </row>
    <row r="236" spans="2:5">
      <c r="B236" s="484"/>
      <c r="E236" s="397"/>
    </row>
    <row r="237" spans="2:5">
      <c r="B237" s="484"/>
      <c r="E237" s="397"/>
    </row>
    <row r="238" spans="2:5">
      <c r="B238" s="484"/>
      <c r="E238" s="397"/>
    </row>
    <row r="239" spans="2:5">
      <c r="B239" s="484"/>
      <c r="E239" s="397"/>
    </row>
    <row r="240" spans="2:5">
      <c r="B240" s="484"/>
      <c r="E240" s="397"/>
    </row>
    <row r="241" spans="2:5">
      <c r="B241" s="484"/>
      <c r="E241" s="397"/>
    </row>
    <row r="242" spans="2:5">
      <c r="B242" s="484"/>
      <c r="E242" s="397"/>
    </row>
    <row r="243" spans="2:5">
      <c r="B243" s="484"/>
      <c r="E243" s="397"/>
    </row>
    <row r="244" spans="2:5">
      <c r="B244" s="484"/>
      <c r="E244" s="397"/>
    </row>
    <row r="245" spans="2:5">
      <c r="B245" s="484"/>
      <c r="E245" s="397"/>
    </row>
    <row r="246" spans="2:5">
      <c r="B246" s="484"/>
      <c r="E246" s="397"/>
    </row>
    <row r="247" spans="2:5">
      <c r="B247" s="484"/>
      <c r="E247" s="397"/>
    </row>
    <row r="248" spans="2:5">
      <c r="B248" s="484"/>
      <c r="E248" s="397"/>
    </row>
    <row r="249" spans="2:5">
      <c r="B249" s="484"/>
      <c r="E249" s="397"/>
    </row>
    <row r="250" spans="2:5">
      <c r="B250" s="484"/>
      <c r="E250" s="397"/>
    </row>
    <row r="251" spans="2:5">
      <c r="B251" s="484"/>
      <c r="E251" s="397"/>
    </row>
    <row r="252" spans="2:5">
      <c r="B252" s="484"/>
      <c r="E252" s="397"/>
    </row>
    <row r="253" spans="2:5">
      <c r="B253" s="484"/>
      <c r="E253" s="397"/>
    </row>
    <row r="254" spans="2:5">
      <c r="B254" s="484"/>
      <c r="E254" s="397"/>
    </row>
    <row r="255" spans="2:5">
      <c r="B255" s="484"/>
      <c r="E255" s="397"/>
    </row>
    <row r="256" spans="2:5">
      <c r="B256" s="484"/>
      <c r="E256" s="397"/>
    </row>
    <row r="257" spans="2:5">
      <c r="B257" s="484"/>
      <c r="E257" s="397"/>
    </row>
    <row r="258" spans="2:5">
      <c r="B258" s="484"/>
      <c r="E258" s="397"/>
    </row>
    <row r="259" spans="2:5">
      <c r="B259" s="484"/>
      <c r="E259" s="397"/>
    </row>
    <row r="260" spans="2:5">
      <c r="B260" s="484"/>
      <c r="E260" s="397"/>
    </row>
    <row r="261" spans="2:5">
      <c r="B261" s="484"/>
      <c r="E261" s="397"/>
    </row>
    <row r="262" spans="2:5">
      <c r="B262" s="484"/>
      <c r="E262" s="397"/>
    </row>
    <row r="263" spans="2:5">
      <c r="B263" s="484"/>
      <c r="E263" s="397"/>
    </row>
    <row r="264" spans="2:5">
      <c r="B264" s="484"/>
      <c r="E264" s="397"/>
    </row>
    <row r="265" spans="2:5">
      <c r="B265" s="484"/>
      <c r="E265" s="397"/>
    </row>
    <row r="266" spans="2:5">
      <c r="B266" s="484"/>
      <c r="E266" s="397"/>
    </row>
    <row r="267" spans="2:5">
      <c r="B267" s="484"/>
      <c r="E267" s="397"/>
    </row>
    <row r="268" spans="2:5">
      <c r="B268" s="484"/>
      <c r="E268" s="397"/>
    </row>
    <row r="269" spans="2:5">
      <c r="B269" s="484"/>
      <c r="E269" s="397"/>
    </row>
    <row r="270" spans="2:5">
      <c r="B270" s="484"/>
      <c r="E270" s="397"/>
    </row>
    <row r="271" spans="2:5">
      <c r="B271" s="484"/>
      <c r="E271" s="397"/>
    </row>
    <row r="272" spans="2:5">
      <c r="B272" s="484"/>
      <c r="E272" s="397"/>
    </row>
    <row r="273" spans="2:5">
      <c r="B273" s="484"/>
      <c r="E273" s="397"/>
    </row>
    <row r="274" spans="2:5">
      <c r="B274" s="484"/>
      <c r="E274" s="397"/>
    </row>
    <row r="275" spans="2:5">
      <c r="B275" s="484"/>
      <c r="E275" s="397"/>
    </row>
    <row r="276" spans="2:5">
      <c r="B276" s="484"/>
      <c r="E276" s="397"/>
    </row>
    <row r="277" spans="2:5">
      <c r="B277" s="484"/>
      <c r="E277" s="397"/>
    </row>
    <row r="278" spans="2:5">
      <c r="B278" s="484"/>
      <c r="E278" s="397"/>
    </row>
    <row r="279" spans="2:5">
      <c r="B279" s="484"/>
      <c r="E279" s="397"/>
    </row>
    <row r="280" spans="2:5">
      <c r="B280" s="484"/>
      <c r="E280" s="397"/>
    </row>
    <row r="281" spans="2:5">
      <c r="B281" s="484"/>
      <c r="E281" s="397"/>
    </row>
    <row r="282" spans="2:5">
      <c r="B282" s="484"/>
      <c r="E282" s="397"/>
    </row>
    <row r="283" spans="2:5">
      <c r="B283" s="484"/>
      <c r="E283" s="397"/>
    </row>
    <row r="284" spans="2:5">
      <c r="B284" s="484"/>
      <c r="E284" s="397"/>
    </row>
    <row r="285" spans="2:5">
      <c r="B285" s="484"/>
      <c r="E285" s="397"/>
    </row>
    <row r="286" spans="2:5">
      <c r="B286" s="484"/>
      <c r="E286" s="397"/>
    </row>
    <row r="287" spans="2:5">
      <c r="B287" s="484"/>
      <c r="E287" s="397"/>
    </row>
    <row r="288" spans="2:5">
      <c r="B288" s="484"/>
      <c r="E288" s="397"/>
    </row>
    <row r="289" spans="2:5">
      <c r="B289" s="484"/>
      <c r="E289" s="397"/>
    </row>
    <row r="290" spans="2:5">
      <c r="B290" s="484"/>
      <c r="E290" s="397"/>
    </row>
    <row r="291" spans="2:5">
      <c r="B291" s="484"/>
      <c r="E291" s="397"/>
    </row>
    <row r="292" spans="2:5">
      <c r="B292" s="484"/>
      <c r="E292" s="397"/>
    </row>
    <row r="293" spans="2:5">
      <c r="B293" s="484"/>
      <c r="E293" s="397"/>
    </row>
    <row r="294" spans="2:5">
      <c r="B294" s="484"/>
      <c r="E294" s="397"/>
    </row>
    <row r="295" spans="2:5">
      <c r="B295" s="484"/>
      <c r="E295" s="397"/>
    </row>
    <row r="296" spans="2:5">
      <c r="B296" s="484"/>
      <c r="E296" s="397"/>
    </row>
    <row r="297" spans="2:5">
      <c r="B297" s="484"/>
      <c r="E297" s="397"/>
    </row>
    <row r="298" spans="2:5">
      <c r="B298" s="484"/>
      <c r="E298" s="397"/>
    </row>
    <row r="299" spans="2:5">
      <c r="B299" s="484"/>
      <c r="E299" s="397"/>
    </row>
    <row r="300" spans="2:5">
      <c r="B300" s="484"/>
      <c r="E300" s="397"/>
    </row>
    <row r="301" spans="2:5">
      <c r="B301" s="484"/>
      <c r="E301" s="397"/>
    </row>
    <row r="302" spans="2:5">
      <c r="B302" s="484"/>
      <c r="E302" s="397"/>
    </row>
    <row r="303" spans="2:5">
      <c r="B303" s="484"/>
      <c r="E303" s="397"/>
    </row>
    <row r="304" spans="2:5">
      <c r="B304" s="484"/>
      <c r="E304" s="397"/>
    </row>
    <row r="305" spans="2:5">
      <c r="B305" s="484"/>
      <c r="E305" s="397"/>
    </row>
    <row r="306" spans="2:5">
      <c r="B306" s="484"/>
      <c r="E306" s="397"/>
    </row>
    <row r="307" spans="2:5">
      <c r="B307" s="484"/>
      <c r="E307" s="397"/>
    </row>
    <row r="308" spans="2:5">
      <c r="B308" s="484"/>
      <c r="E308" s="397"/>
    </row>
    <row r="309" spans="2:5">
      <c r="B309" s="484"/>
      <c r="E309" s="397"/>
    </row>
    <row r="310" spans="2:5">
      <c r="B310" s="484"/>
      <c r="E310" s="397"/>
    </row>
    <row r="311" spans="2:5">
      <c r="B311" s="484"/>
      <c r="E311" s="397"/>
    </row>
    <row r="312" spans="2:5">
      <c r="B312" s="484"/>
      <c r="E312" s="397"/>
    </row>
    <row r="313" spans="2:5">
      <c r="B313" s="484"/>
      <c r="E313" s="397"/>
    </row>
    <row r="314" spans="2:5">
      <c r="B314" s="484"/>
      <c r="E314" s="397"/>
    </row>
    <row r="315" spans="2:5">
      <c r="B315" s="484"/>
      <c r="E315" s="397"/>
    </row>
    <row r="316" spans="2:5">
      <c r="B316" s="484"/>
      <c r="E316" s="397"/>
    </row>
    <row r="317" spans="2:5">
      <c r="B317" s="484"/>
      <c r="E317" s="397"/>
    </row>
    <row r="318" spans="2:5">
      <c r="B318" s="484"/>
      <c r="E318" s="397"/>
    </row>
    <row r="319" spans="2:5">
      <c r="B319" s="484"/>
      <c r="E319" s="397"/>
    </row>
    <row r="320" spans="2:5">
      <c r="B320" s="484"/>
      <c r="E320" s="397"/>
    </row>
    <row r="321" spans="2:5">
      <c r="B321" s="484"/>
      <c r="E321" s="397"/>
    </row>
    <row r="322" spans="2:5">
      <c r="B322" s="484"/>
      <c r="E322" s="397"/>
    </row>
    <row r="323" spans="2:5">
      <c r="B323" s="484"/>
      <c r="E323" s="397"/>
    </row>
    <row r="324" spans="2:5">
      <c r="B324" s="484"/>
      <c r="E324" s="397"/>
    </row>
    <row r="325" spans="2:5">
      <c r="B325" s="484"/>
      <c r="E325" s="397"/>
    </row>
    <row r="326" spans="2:5">
      <c r="B326" s="484"/>
      <c r="E326" s="397"/>
    </row>
    <row r="327" spans="2:5">
      <c r="B327" s="484"/>
      <c r="E327" s="397"/>
    </row>
    <row r="328" spans="2:5">
      <c r="B328" s="484"/>
      <c r="E328" s="397"/>
    </row>
    <row r="329" spans="2:5">
      <c r="B329" s="484"/>
      <c r="E329" s="397"/>
    </row>
    <row r="330" spans="2:5">
      <c r="B330" s="484"/>
      <c r="E330" s="397"/>
    </row>
    <row r="331" spans="2:5">
      <c r="B331" s="484"/>
      <c r="E331" s="397"/>
    </row>
    <row r="332" spans="2:5">
      <c r="B332" s="484"/>
      <c r="E332" s="397"/>
    </row>
    <row r="333" spans="2:5">
      <c r="B333" s="484"/>
      <c r="E333" s="397"/>
    </row>
    <row r="334" spans="2:5">
      <c r="B334" s="484"/>
      <c r="E334" s="397"/>
    </row>
    <row r="335" spans="2:5">
      <c r="B335" s="484"/>
      <c r="E335" s="397"/>
    </row>
    <row r="336" spans="2:5">
      <c r="B336" s="484"/>
      <c r="E336" s="397"/>
    </row>
    <row r="337" spans="2:5">
      <c r="B337" s="484"/>
      <c r="E337" s="397"/>
    </row>
    <row r="338" spans="2:5">
      <c r="B338" s="484"/>
      <c r="E338" s="397"/>
    </row>
    <row r="339" spans="2:5">
      <c r="B339" s="484"/>
      <c r="E339" s="397"/>
    </row>
    <row r="340" spans="2:5">
      <c r="B340" s="484"/>
      <c r="E340" s="397"/>
    </row>
    <row r="341" spans="2:5">
      <c r="B341" s="484"/>
      <c r="E341" s="397"/>
    </row>
    <row r="342" spans="2:5">
      <c r="B342" s="484"/>
      <c r="E342" s="397"/>
    </row>
    <row r="343" spans="2:5">
      <c r="B343" s="484"/>
      <c r="E343" s="397"/>
    </row>
    <row r="344" spans="2:5">
      <c r="B344" s="484"/>
      <c r="E344" s="397"/>
    </row>
    <row r="345" spans="2:5">
      <c r="B345" s="484"/>
      <c r="E345" s="397"/>
    </row>
    <row r="346" spans="2:5">
      <c r="B346" s="484"/>
      <c r="E346" s="397"/>
    </row>
    <row r="347" spans="2:5">
      <c r="B347" s="484"/>
      <c r="E347" s="397"/>
    </row>
    <row r="348" spans="2:5">
      <c r="B348" s="484"/>
      <c r="E348" s="397"/>
    </row>
    <row r="349" spans="2:5">
      <c r="B349" s="484"/>
      <c r="E349" s="397"/>
    </row>
    <row r="350" spans="2:5">
      <c r="B350" s="484"/>
      <c r="E350" s="397"/>
    </row>
    <row r="351" spans="2:5">
      <c r="B351" s="484"/>
      <c r="E351" s="397"/>
    </row>
    <row r="352" spans="2:5">
      <c r="B352" s="484"/>
      <c r="E352" s="397"/>
    </row>
    <row r="353" spans="2:5">
      <c r="B353" s="484"/>
      <c r="E353" s="397"/>
    </row>
    <row r="354" spans="2:5">
      <c r="B354" s="484"/>
      <c r="E354" s="397"/>
    </row>
    <row r="355" spans="2:5">
      <c r="B355" s="484"/>
      <c r="E355" s="397"/>
    </row>
    <row r="356" spans="2:5">
      <c r="B356" s="484"/>
      <c r="E356" s="397"/>
    </row>
    <row r="357" spans="2:5">
      <c r="B357" s="484"/>
      <c r="E357" s="397"/>
    </row>
    <row r="358" spans="2:5">
      <c r="B358" s="484"/>
      <c r="E358" s="397"/>
    </row>
    <row r="359" spans="2:5">
      <c r="B359" s="484"/>
      <c r="E359" s="397"/>
    </row>
    <row r="360" spans="2:5">
      <c r="B360" s="484"/>
      <c r="E360" s="397"/>
    </row>
    <row r="361" spans="2:5">
      <c r="B361" s="484"/>
      <c r="E361" s="397"/>
    </row>
    <row r="362" spans="2:5">
      <c r="B362" s="484"/>
      <c r="E362" s="397"/>
    </row>
    <row r="363" spans="2:5">
      <c r="B363" s="484"/>
      <c r="E363" s="397"/>
    </row>
    <row r="364" spans="2:5">
      <c r="B364" s="484"/>
      <c r="E364" s="397"/>
    </row>
    <row r="365" spans="2:5">
      <c r="B365" s="484"/>
      <c r="E365" s="397"/>
    </row>
    <row r="366" spans="2:5">
      <c r="B366" s="484"/>
      <c r="E366" s="397"/>
    </row>
    <row r="367" spans="2:5">
      <c r="B367" s="484"/>
      <c r="E367" s="397"/>
    </row>
    <row r="368" spans="2:5">
      <c r="B368" s="484"/>
      <c r="E368" s="397"/>
    </row>
    <row r="369" spans="2:5">
      <c r="B369" s="484"/>
      <c r="E369" s="397"/>
    </row>
    <row r="370" spans="2:5">
      <c r="B370" s="484"/>
      <c r="E370" s="397"/>
    </row>
    <row r="371" spans="2:5">
      <c r="B371" s="484"/>
      <c r="E371" s="397"/>
    </row>
    <row r="372" spans="2:5">
      <c r="B372" s="484"/>
      <c r="E372" s="397"/>
    </row>
    <row r="373" spans="2:5">
      <c r="B373" s="484"/>
      <c r="E373" s="397"/>
    </row>
    <row r="374" spans="2:5">
      <c r="B374" s="484"/>
      <c r="E374" s="397"/>
    </row>
    <row r="375" spans="2:5">
      <c r="B375" s="484"/>
      <c r="E375" s="397"/>
    </row>
    <row r="376" spans="2:5">
      <c r="B376" s="484"/>
      <c r="E376" s="397"/>
    </row>
    <row r="377" spans="2:5">
      <c r="B377" s="484"/>
      <c r="E377" s="397"/>
    </row>
    <row r="378" spans="2:5">
      <c r="B378" s="484"/>
      <c r="E378" s="397"/>
    </row>
    <row r="379" spans="2:5">
      <c r="B379" s="484"/>
      <c r="E379" s="397"/>
    </row>
    <row r="380" spans="2:5">
      <c r="B380" s="484"/>
      <c r="E380" s="397"/>
    </row>
    <row r="381" spans="2:5">
      <c r="B381" s="484"/>
      <c r="E381" s="397"/>
    </row>
    <row r="382" spans="2:5">
      <c r="B382" s="484"/>
      <c r="E382" s="397"/>
    </row>
    <row r="383" spans="2:5">
      <c r="B383" s="484"/>
      <c r="E383" s="397"/>
    </row>
    <row r="384" spans="2:5">
      <c r="B384" s="484"/>
      <c r="E384" s="397"/>
    </row>
    <row r="385" spans="2:5">
      <c r="B385" s="484"/>
      <c r="E385" s="397"/>
    </row>
    <row r="386" spans="2:5">
      <c r="B386" s="484"/>
      <c r="E386" s="397"/>
    </row>
    <row r="387" spans="2:5">
      <c r="B387" s="484"/>
      <c r="E387" s="397"/>
    </row>
    <row r="388" spans="2:5">
      <c r="B388" s="484"/>
      <c r="E388" s="397"/>
    </row>
    <row r="389" spans="2:5">
      <c r="B389" s="484"/>
      <c r="E389" s="397"/>
    </row>
    <row r="390" spans="2:5">
      <c r="B390" s="484"/>
      <c r="E390" s="397"/>
    </row>
    <row r="391" spans="2:5">
      <c r="B391" s="484"/>
      <c r="E391" s="397"/>
    </row>
    <row r="392" spans="2:5">
      <c r="B392" s="484"/>
      <c r="E392" s="397"/>
    </row>
    <row r="393" spans="2:5">
      <c r="B393" s="484"/>
      <c r="E393" s="397"/>
    </row>
    <row r="394" spans="2:5">
      <c r="B394" s="484"/>
      <c r="E394" s="397"/>
    </row>
    <row r="395" spans="2:5">
      <c r="B395" s="484"/>
      <c r="E395" s="397"/>
    </row>
    <row r="396" spans="2:5">
      <c r="B396" s="484"/>
      <c r="E396" s="397"/>
    </row>
    <row r="397" spans="2:5">
      <c r="B397" s="484"/>
      <c r="E397" s="397"/>
    </row>
    <row r="398" spans="2:5">
      <c r="B398" s="484"/>
      <c r="E398" s="397"/>
    </row>
    <row r="399" spans="2:5">
      <c r="B399" s="484"/>
      <c r="E399" s="397"/>
    </row>
    <row r="400" spans="2:5">
      <c r="B400" s="484"/>
      <c r="E400" s="397"/>
    </row>
    <row r="401" spans="2:5">
      <c r="B401" s="484"/>
      <c r="E401" s="397"/>
    </row>
    <row r="402" spans="2:5">
      <c r="B402" s="484"/>
      <c r="E402" s="397"/>
    </row>
    <row r="403" spans="2:5">
      <c r="B403" s="484"/>
      <c r="E403" s="397"/>
    </row>
    <row r="404" spans="2:5">
      <c r="B404" s="484"/>
      <c r="E404" s="397"/>
    </row>
    <row r="405" spans="2:5">
      <c r="B405" s="484"/>
      <c r="E405" s="397"/>
    </row>
    <row r="406" spans="2:5">
      <c r="B406" s="484"/>
      <c r="E406" s="397"/>
    </row>
    <row r="407" spans="2:5">
      <c r="B407" s="484"/>
      <c r="E407" s="397"/>
    </row>
    <row r="408" spans="2:5">
      <c r="B408" s="484"/>
      <c r="E408" s="397"/>
    </row>
    <row r="409" spans="2:5">
      <c r="B409" s="484"/>
      <c r="E409" s="397"/>
    </row>
    <row r="410" spans="2:5">
      <c r="B410" s="484"/>
      <c r="E410" s="397"/>
    </row>
    <row r="411" spans="2:5">
      <c r="B411" s="484"/>
      <c r="E411" s="397"/>
    </row>
    <row r="412" spans="2:5">
      <c r="B412" s="484"/>
      <c r="E412" s="397"/>
    </row>
    <row r="413" spans="2:5">
      <c r="B413" s="484"/>
      <c r="E413" s="397"/>
    </row>
    <row r="414" spans="2:5">
      <c r="B414" s="484"/>
      <c r="E414" s="397"/>
    </row>
    <row r="415" spans="2:5">
      <c r="B415" s="484"/>
      <c r="E415" s="397"/>
    </row>
    <row r="416" spans="2:5">
      <c r="B416" s="484"/>
      <c r="E416" s="397"/>
    </row>
    <row r="417" spans="2:5">
      <c r="B417" s="484"/>
      <c r="E417" s="397"/>
    </row>
    <row r="418" spans="2:5">
      <c r="B418" s="484"/>
      <c r="E418" s="397"/>
    </row>
    <row r="419" spans="2:5">
      <c r="B419" s="484"/>
      <c r="E419" s="397"/>
    </row>
    <row r="420" spans="2:5">
      <c r="B420" s="484"/>
      <c r="E420" s="397"/>
    </row>
    <row r="421" spans="2:5">
      <c r="B421" s="484"/>
      <c r="E421" s="397"/>
    </row>
    <row r="422" spans="2:5">
      <c r="B422" s="484"/>
      <c r="E422" s="397"/>
    </row>
    <row r="423" spans="2:5">
      <c r="B423" s="484"/>
      <c r="E423" s="397"/>
    </row>
    <row r="424" spans="2:5">
      <c r="B424" s="484"/>
      <c r="E424" s="397"/>
    </row>
    <row r="425" spans="2:5">
      <c r="B425" s="484"/>
      <c r="E425" s="397"/>
    </row>
    <row r="426" spans="2:5">
      <c r="B426" s="484"/>
      <c r="E426" s="397"/>
    </row>
    <row r="427" spans="2:5">
      <c r="B427" s="484"/>
      <c r="E427" s="397"/>
    </row>
    <row r="428" spans="2:5">
      <c r="B428" s="484"/>
      <c r="E428" s="397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Roman,Regular"&amp;10&amp;A</oddFooter>
  </headerFooter>
  <ignoredErrors>
    <ignoredError sqref="B51" numberStoredAsText="1"/>
  </ignoredError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2:T82"/>
  <sheetViews>
    <sheetView zoomScale="80" zoomScaleNormal="80" zoomScalePageLayoutView="80" workbookViewId="0">
      <selection activeCell="C7" sqref="C7"/>
    </sheetView>
  </sheetViews>
  <sheetFormatPr defaultColWidth="9.140625" defaultRowHeight="15.75"/>
  <cols>
    <col min="1" max="1" width="5.140625" style="983" customWidth="1"/>
    <col min="2" max="2" width="8.5703125" style="495" customWidth="1"/>
    <col min="3" max="3" width="68.85546875" style="495" customWidth="1"/>
    <col min="4" max="6" width="16.85546875" style="495" customWidth="1"/>
    <col min="7" max="7" width="34.5703125" style="495" customWidth="1"/>
    <col min="8" max="8" width="5.140625" style="983" customWidth="1"/>
    <col min="9" max="9" width="4" style="495" customWidth="1"/>
    <col min="10" max="10" width="13.140625" style="495" bestFit="1" customWidth="1"/>
    <col min="11" max="11" width="9.140625" style="495"/>
    <col min="12" max="12" width="9.85546875" style="495" customWidth="1"/>
    <col min="13" max="13" width="10" style="495" customWidth="1"/>
    <col min="14" max="16384" width="9.140625" style="495"/>
  </cols>
  <sheetData>
    <row r="2" spans="1:11">
      <c r="B2" s="1663" t="s">
        <v>17</v>
      </c>
      <c r="C2" s="1663"/>
      <c r="D2" s="1663"/>
      <c r="E2" s="1663"/>
      <c r="F2" s="1663"/>
      <c r="G2" s="1663"/>
      <c r="H2" s="1191"/>
    </row>
    <row r="3" spans="1:11">
      <c r="B3" s="1663" t="s">
        <v>178</v>
      </c>
      <c r="C3" s="1663"/>
      <c r="D3" s="1663"/>
      <c r="E3" s="1663"/>
      <c r="F3" s="1663"/>
      <c r="G3" s="1663"/>
      <c r="H3" s="1191"/>
    </row>
    <row r="4" spans="1:11">
      <c r="B4" s="1663" t="str">
        <f>" 12 Months Ending December 31, "&amp;Automation!$B$3</f>
        <v xml:space="preserve"> 12 Months Ending December 31, 2019</v>
      </c>
      <c r="C4" s="1663"/>
      <c r="D4" s="1663"/>
      <c r="E4" s="1663"/>
      <c r="F4" s="1663"/>
      <c r="G4" s="1663"/>
      <c r="H4" s="1191"/>
    </row>
    <row r="5" spans="1:11">
      <c r="B5" s="1664" t="s">
        <v>2</v>
      </c>
      <c r="C5" s="1664"/>
      <c r="D5" s="1664"/>
      <c r="E5" s="1664"/>
      <c r="F5" s="1664"/>
      <c r="G5" s="1664"/>
      <c r="H5" s="1191"/>
    </row>
    <row r="6" spans="1:11" ht="16.5" thickBot="1">
      <c r="A6" s="504"/>
      <c r="B6" s="496"/>
      <c r="C6" s="496"/>
      <c r="D6" s="497"/>
      <c r="E6" s="497"/>
      <c r="F6" s="497"/>
      <c r="G6" s="497"/>
      <c r="H6" s="504"/>
      <c r="J6" s="397"/>
    </row>
    <row r="7" spans="1:11">
      <c r="A7" s="498"/>
      <c r="B7" s="499"/>
      <c r="C7" s="500"/>
      <c r="D7" s="501" t="s">
        <v>4</v>
      </c>
      <c r="E7" s="502" t="s">
        <v>5</v>
      </c>
      <c r="F7" s="501" t="s">
        <v>136</v>
      </c>
      <c r="G7" s="503"/>
      <c r="H7" s="498"/>
    </row>
    <row r="8" spans="1:11">
      <c r="A8" s="504" t="s">
        <v>3</v>
      </c>
      <c r="B8" s="505" t="s">
        <v>137</v>
      </c>
      <c r="C8" s="506"/>
      <c r="D8" s="507" t="s">
        <v>30</v>
      </c>
      <c r="E8" s="508" t="s">
        <v>138</v>
      </c>
      <c r="F8" s="507" t="s">
        <v>30</v>
      </c>
      <c r="G8" s="509"/>
      <c r="H8" s="504" t="s">
        <v>3</v>
      </c>
    </row>
    <row r="9" spans="1:11" ht="16.5" thickBot="1">
      <c r="A9" s="504" t="s">
        <v>24</v>
      </c>
      <c r="B9" s="510" t="s">
        <v>139</v>
      </c>
      <c r="C9" s="511" t="s">
        <v>71</v>
      </c>
      <c r="D9" s="512" t="s">
        <v>140</v>
      </c>
      <c r="E9" s="511" t="s">
        <v>141</v>
      </c>
      <c r="F9" s="512" t="s">
        <v>142</v>
      </c>
      <c r="G9" s="513" t="s">
        <v>8</v>
      </c>
      <c r="H9" s="504" t="s">
        <v>24</v>
      </c>
      <c r="I9" s="504"/>
    </row>
    <row r="10" spans="1:11">
      <c r="A10" s="504"/>
      <c r="B10" s="514"/>
      <c r="C10" s="515" t="s">
        <v>179</v>
      </c>
      <c r="D10" s="1289"/>
      <c r="E10" s="1289"/>
      <c r="F10" s="516"/>
      <c r="G10" s="517"/>
      <c r="H10" s="504"/>
    </row>
    <row r="11" spans="1:11">
      <c r="A11" s="504">
        <v>1</v>
      </c>
      <c r="B11" s="514">
        <v>920</v>
      </c>
      <c r="C11" s="518" t="s">
        <v>180</v>
      </c>
      <c r="D11" s="314">
        <v>31012.001380000002</v>
      </c>
      <c r="E11" s="314">
        <v>91.867089999999976</v>
      </c>
      <c r="F11" s="314">
        <f>D11-E11</f>
        <v>30920.134290000002</v>
      </c>
      <c r="G11" s="519" t="s">
        <v>453</v>
      </c>
      <c r="H11" s="504">
        <f>A11</f>
        <v>1</v>
      </c>
      <c r="I11" s="495" t="s">
        <v>9</v>
      </c>
      <c r="J11" s="289"/>
    </row>
    <row r="12" spans="1:11">
      <c r="A12" s="504">
        <f t="shared" ref="A12:A60" si="0">A11+1</f>
        <v>2</v>
      </c>
      <c r="B12" s="514">
        <v>921</v>
      </c>
      <c r="C12" s="518" t="s">
        <v>652</v>
      </c>
      <c r="D12" s="316">
        <v>16773.40425</v>
      </c>
      <c r="E12" s="459">
        <v>-1.33857</v>
      </c>
      <c r="F12" s="316">
        <f>D12-E12</f>
        <v>16774.742819999999</v>
      </c>
      <c r="G12" s="519" t="s">
        <v>454</v>
      </c>
      <c r="H12" s="504">
        <f t="shared" ref="H12:H60" si="1">H11+1</f>
        <v>2</v>
      </c>
      <c r="J12" s="289"/>
      <c r="K12" s="520"/>
    </row>
    <row r="13" spans="1:11">
      <c r="A13" s="504">
        <f t="shared" si="0"/>
        <v>3</v>
      </c>
      <c r="B13" s="514">
        <v>922</v>
      </c>
      <c r="C13" s="518" t="s">
        <v>181</v>
      </c>
      <c r="D13" s="316">
        <v>-13569.700310000002</v>
      </c>
      <c r="E13" s="459">
        <v>0</v>
      </c>
      <c r="F13" s="316">
        <f>D13-E13</f>
        <v>-13569.700310000002</v>
      </c>
      <c r="G13" s="519" t="s">
        <v>455</v>
      </c>
      <c r="H13" s="504">
        <f t="shared" si="1"/>
        <v>3</v>
      </c>
      <c r="J13" s="289"/>
    </row>
    <row r="14" spans="1:11">
      <c r="A14" s="504">
        <f t="shared" si="0"/>
        <v>4</v>
      </c>
      <c r="B14" s="514">
        <v>923</v>
      </c>
      <c r="C14" s="518" t="s">
        <v>651</v>
      </c>
      <c r="D14" s="316">
        <v>90245.647219999999</v>
      </c>
      <c r="E14" s="459">
        <v>153.10804999999999</v>
      </c>
      <c r="F14" s="316">
        <f>D14-E14</f>
        <v>90092.539170000004</v>
      </c>
      <c r="G14" s="519" t="s">
        <v>456</v>
      </c>
      <c r="H14" s="504">
        <f t="shared" si="1"/>
        <v>4</v>
      </c>
      <c r="J14" s="289"/>
    </row>
    <row r="15" spans="1:11">
      <c r="A15" s="504">
        <f t="shared" si="0"/>
        <v>5</v>
      </c>
      <c r="B15" s="514">
        <v>924</v>
      </c>
      <c r="C15" s="518" t="s">
        <v>649</v>
      </c>
      <c r="D15" s="316">
        <v>8305.6217899999992</v>
      </c>
      <c r="E15" s="459">
        <v>0</v>
      </c>
      <c r="F15" s="316">
        <f t="shared" ref="F15:F16" si="2">D15-E15</f>
        <v>8305.6217899999992</v>
      </c>
      <c r="G15" s="519" t="s">
        <v>457</v>
      </c>
      <c r="H15" s="504">
        <f t="shared" si="1"/>
        <v>5</v>
      </c>
      <c r="J15" s="289"/>
    </row>
    <row r="16" spans="1:11">
      <c r="A16" s="504">
        <f t="shared" si="0"/>
        <v>6</v>
      </c>
      <c r="B16" s="514">
        <v>925</v>
      </c>
      <c r="C16" s="518" t="s">
        <v>296</v>
      </c>
      <c r="D16" s="316">
        <v>140446.40546000001</v>
      </c>
      <c r="E16" s="459">
        <v>335.97845833499991</v>
      </c>
      <c r="F16" s="316">
        <f t="shared" si="2"/>
        <v>140110.427001665</v>
      </c>
      <c r="G16" s="519" t="s">
        <v>458</v>
      </c>
      <c r="H16" s="504">
        <f t="shared" si="1"/>
        <v>6</v>
      </c>
      <c r="J16" s="289"/>
    </row>
    <row r="17" spans="1:14">
      <c r="A17" s="504">
        <f t="shared" si="0"/>
        <v>7</v>
      </c>
      <c r="B17" s="514">
        <v>926</v>
      </c>
      <c r="C17" s="518" t="s">
        <v>182</v>
      </c>
      <c r="D17" s="316">
        <v>54077.224009999998</v>
      </c>
      <c r="E17" s="459">
        <v>913.38426291299993</v>
      </c>
      <c r="F17" s="316">
        <f>D17-E17</f>
        <v>53163.839747086997</v>
      </c>
      <c r="G17" s="519" t="s">
        <v>459</v>
      </c>
      <c r="H17" s="504">
        <f t="shared" si="1"/>
        <v>7</v>
      </c>
      <c r="J17" s="521"/>
      <c r="L17" s="522"/>
      <c r="M17" s="522"/>
      <c r="N17" s="522"/>
    </row>
    <row r="18" spans="1:14">
      <c r="A18" s="504">
        <f t="shared" si="0"/>
        <v>8</v>
      </c>
      <c r="B18" s="514">
        <v>927</v>
      </c>
      <c r="C18" s="518" t="s">
        <v>183</v>
      </c>
      <c r="D18" s="316">
        <v>127615.79129000001</v>
      </c>
      <c r="E18" s="459">
        <v>127615.79129000001</v>
      </c>
      <c r="F18" s="316">
        <f t="shared" ref="F18:F20" si="3">D18-E18</f>
        <v>0</v>
      </c>
      <c r="G18" s="519" t="s">
        <v>460</v>
      </c>
      <c r="H18" s="504">
        <f t="shared" si="1"/>
        <v>8</v>
      </c>
      <c r="I18" s="522"/>
      <c r="J18" s="521"/>
      <c r="K18" s="522"/>
      <c r="L18" s="522"/>
      <c r="M18" s="522"/>
      <c r="N18" s="522"/>
    </row>
    <row r="19" spans="1:14">
      <c r="A19" s="504">
        <f t="shared" si="0"/>
        <v>9</v>
      </c>
      <c r="B19" s="514">
        <v>928</v>
      </c>
      <c r="C19" s="518" t="s">
        <v>467</v>
      </c>
      <c r="D19" s="316">
        <v>22402.324690000001</v>
      </c>
      <c r="E19" s="459">
        <v>11134.69994</v>
      </c>
      <c r="F19" s="316">
        <f t="shared" si="3"/>
        <v>11267.624750000001</v>
      </c>
      <c r="G19" s="519" t="s">
        <v>461</v>
      </c>
      <c r="H19" s="504">
        <f t="shared" si="1"/>
        <v>9</v>
      </c>
      <c r="I19" s="522"/>
      <c r="J19" s="521"/>
      <c r="K19" s="522"/>
      <c r="L19" s="522"/>
      <c r="M19" s="522"/>
      <c r="N19" s="522"/>
    </row>
    <row r="20" spans="1:14">
      <c r="A20" s="504">
        <f t="shared" si="0"/>
        <v>10</v>
      </c>
      <c r="B20" s="514">
        <v>929</v>
      </c>
      <c r="C20" s="518" t="s">
        <v>184</v>
      </c>
      <c r="D20" s="316">
        <v>-2181.0840200000002</v>
      </c>
      <c r="E20" s="459">
        <v>0</v>
      </c>
      <c r="F20" s="316">
        <f t="shared" si="3"/>
        <v>-2181.0840200000002</v>
      </c>
      <c r="G20" s="519" t="s">
        <v>462</v>
      </c>
      <c r="H20" s="504">
        <f t="shared" si="1"/>
        <v>10</v>
      </c>
      <c r="J20" s="289"/>
    </row>
    <row r="21" spans="1:14">
      <c r="A21" s="504">
        <f t="shared" si="0"/>
        <v>11</v>
      </c>
      <c r="B21" s="523">
        <v>930.1</v>
      </c>
      <c r="C21" s="518" t="s">
        <v>185</v>
      </c>
      <c r="D21" s="316">
        <v>112.52861999999999</v>
      </c>
      <c r="E21" s="459">
        <v>112.52861999999999</v>
      </c>
      <c r="F21" s="316">
        <f>D21-E21</f>
        <v>0</v>
      </c>
      <c r="G21" s="519" t="s">
        <v>463</v>
      </c>
      <c r="H21" s="504">
        <f t="shared" si="1"/>
        <v>11</v>
      </c>
      <c r="J21" s="289"/>
    </row>
    <row r="22" spans="1:14" s="496" customFormat="1">
      <c r="A22" s="504">
        <f t="shared" si="0"/>
        <v>12</v>
      </c>
      <c r="B22" s="523">
        <v>930.2</v>
      </c>
      <c r="C22" s="518" t="s">
        <v>650</v>
      </c>
      <c r="D22" s="316">
        <v>2206.68253</v>
      </c>
      <c r="E22" s="459">
        <v>576.97162999999989</v>
      </c>
      <c r="F22" s="316">
        <f t="shared" ref="F22" si="4">D22-E22</f>
        <v>1629.7109</v>
      </c>
      <c r="G22" s="519" t="s">
        <v>464</v>
      </c>
      <c r="H22" s="504">
        <f t="shared" si="1"/>
        <v>12</v>
      </c>
      <c r="J22" s="524"/>
      <c r="K22" s="495"/>
    </row>
    <row r="23" spans="1:14">
      <c r="A23" s="504">
        <f t="shared" si="0"/>
        <v>13</v>
      </c>
      <c r="B23" s="514">
        <v>931</v>
      </c>
      <c r="C23" s="518" t="s">
        <v>156</v>
      </c>
      <c r="D23" s="316">
        <v>8564.2415499999988</v>
      </c>
      <c r="E23" s="459">
        <v>0</v>
      </c>
      <c r="F23" s="316">
        <f>D23-E23</f>
        <v>8564.2415499999988</v>
      </c>
      <c r="G23" s="519" t="s">
        <v>465</v>
      </c>
      <c r="H23" s="504">
        <f t="shared" si="1"/>
        <v>13</v>
      </c>
      <c r="J23" s="289"/>
    </row>
    <row r="24" spans="1:14">
      <c r="A24" s="504">
        <f t="shared" si="0"/>
        <v>14</v>
      </c>
      <c r="B24" s="514">
        <v>935</v>
      </c>
      <c r="C24" s="518" t="s">
        <v>186</v>
      </c>
      <c r="D24" s="460">
        <v>12341.892099999999</v>
      </c>
      <c r="E24" s="481">
        <v>1502.526687415</v>
      </c>
      <c r="F24" s="460">
        <f>D24-E24</f>
        <v>10839.365412584999</v>
      </c>
      <c r="G24" s="525" t="s">
        <v>466</v>
      </c>
      <c r="H24" s="504">
        <f t="shared" si="1"/>
        <v>14</v>
      </c>
      <c r="I24" s="495" t="s">
        <v>9</v>
      </c>
      <c r="J24" s="289"/>
    </row>
    <row r="25" spans="1:14">
      <c r="A25" s="504">
        <f t="shared" si="0"/>
        <v>15</v>
      </c>
      <c r="B25" s="514"/>
      <c r="C25" s="496"/>
      <c r="D25" s="526"/>
      <c r="E25" s="527"/>
      <c r="F25" s="526"/>
      <c r="G25" s="528"/>
      <c r="H25" s="504">
        <f t="shared" si="1"/>
        <v>15</v>
      </c>
    </row>
    <row r="26" spans="1:14" ht="16.5" thickBot="1">
      <c r="A26" s="504">
        <f t="shared" si="0"/>
        <v>16</v>
      </c>
      <c r="B26" s="514"/>
      <c r="C26" s="529" t="s">
        <v>187</v>
      </c>
      <c r="D26" s="530">
        <f>SUM(D11:D24)</f>
        <v>498352.98056</v>
      </c>
      <c r="E26" s="531">
        <f>SUM(E11:E24)</f>
        <v>142435.51745866297</v>
      </c>
      <c r="F26" s="472">
        <f>SUM(F11:F24)</f>
        <v>355917.46310133697</v>
      </c>
      <c r="G26" s="532" t="str">
        <f>"Sum Lines "&amp;A11&amp;" thru "&amp;A24</f>
        <v>Sum Lines 1 thru 14</v>
      </c>
      <c r="H26" s="504">
        <f t="shared" si="1"/>
        <v>16</v>
      </c>
    </row>
    <row r="27" spans="1:14" ht="16.5" thickTop="1">
      <c r="A27" s="504">
        <f t="shared" si="0"/>
        <v>17</v>
      </c>
      <c r="B27" s="514"/>
      <c r="C27" s="529"/>
      <c r="D27" s="425"/>
      <c r="E27" s="254"/>
      <c r="F27" s="485"/>
      <c r="G27" s="532"/>
      <c r="H27" s="504">
        <f t="shared" si="1"/>
        <v>17</v>
      </c>
    </row>
    <row r="28" spans="1:14" ht="18.75">
      <c r="A28" s="504">
        <f t="shared" si="0"/>
        <v>18</v>
      </c>
      <c r="B28" s="514">
        <v>413</v>
      </c>
      <c r="C28" s="527" t="s">
        <v>828</v>
      </c>
      <c r="D28" s="460">
        <v>54.345089999999999</v>
      </c>
      <c r="E28" s="925">
        <v>0</v>
      </c>
      <c r="F28" s="460">
        <f>D28-E28</f>
        <v>54.345089999999999</v>
      </c>
      <c r="G28" s="532"/>
      <c r="H28" s="504">
        <f t="shared" si="1"/>
        <v>18</v>
      </c>
    </row>
    <row r="29" spans="1:14">
      <c r="A29" s="504">
        <f t="shared" si="0"/>
        <v>19</v>
      </c>
      <c r="B29" s="514"/>
      <c r="C29" s="529"/>
      <c r="D29" s="425"/>
      <c r="E29" s="254"/>
      <c r="F29" s="485"/>
      <c r="G29" s="532"/>
      <c r="H29" s="504">
        <f t="shared" si="1"/>
        <v>19</v>
      </c>
    </row>
    <row r="30" spans="1:14" ht="16.5" thickBot="1">
      <c r="A30" s="504">
        <f t="shared" si="0"/>
        <v>20</v>
      </c>
      <c r="B30" s="514"/>
      <c r="C30" s="529" t="s">
        <v>293</v>
      </c>
      <c r="D30" s="530">
        <f>D26+D28</f>
        <v>498407.32565000001</v>
      </c>
      <c r="E30" s="254">
        <f>E26+E28</f>
        <v>142435.51745866297</v>
      </c>
      <c r="F30" s="485">
        <f>F26+F28</f>
        <v>355971.80819133698</v>
      </c>
      <c r="G30" s="532" t="str">
        <f>"Line "&amp;A26&amp;" + Line "&amp;A28</f>
        <v>Line 16 + Line 18</v>
      </c>
      <c r="H30" s="504">
        <f t="shared" si="1"/>
        <v>20</v>
      </c>
    </row>
    <row r="31" spans="1:14" ht="17.25" thickTop="1" thickBot="1">
      <c r="A31" s="504">
        <f t="shared" si="0"/>
        <v>21</v>
      </c>
      <c r="B31" s="533"/>
      <c r="C31" s="497"/>
      <c r="D31" s="534"/>
      <c r="E31" s="535"/>
      <c r="F31" s="535"/>
      <c r="G31" s="536"/>
      <c r="H31" s="504">
        <f t="shared" si="1"/>
        <v>21</v>
      </c>
    </row>
    <row r="32" spans="1:14">
      <c r="A32" s="504">
        <f t="shared" si="0"/>
        <v>22</v>
      </c>
      <c r="B32" s="537"/>
      <c r="C32" s="496"/>
      <c r="D32" s="538"/>
      <c r="E32" s="539"/>
      <c r="F32" s="538"/>
      <c r="G32" s="528"/>
      <c r="H32" s="504">
        <f t="shared" si="1"/>
        <v>22</v>
      </c>
    </row>
    <row r="33" spans="1:20">
      <c r="A33" s="504">
        <f t="shared" si="0"/>
        <v>23</v>
      </c>
      <c r="B33" s="540" t="s">
        <v>188</v>
      </c>
      <c r="C33" s="504"/>
      <c r="D33" s="504"/>
      <c r="E33" s="504"/>
      <c r="F33" s="504"/>
      <c r="G33" s="528"/>
      <c r="H33" s="504">
        <f t="shared" si="1"/>
        <v>23</v>
      </c>
    </row>
    <row r="34" spans="1:20">
      <c r="A34" s="504">
        <f t="shared" si="0"/>
        <v>24</v>
      </c>
      <c r="B34" s="1569">
        <v>920</v>
      </c>
      <c r="C34" s="1570" t="s">
        <v>189</v>
      </c>
      <c r="D34" s="1571"/>
      <c r="E34" s="1572">
        <v>91.867089999999976</v>
      </c>
      <c r="F34" s="504"/>
      <c r="G34" s="528"/>
      <c r="H34" s="504">
        <f t="shared" si="1"/>
        <v>24</v>
      </c>
      <c r="J34" s="527"/>
    </row>
    <row r="35" spans="1:20">
      <c r="A35" s="504">
        <f t="shared" si="0"/>
        <v>25</v>
      </c>
      <c r="B35" s="1569">
        <v>921</v>
      </c>
      <c r="C35" s="1570" t="s">
        <v>189</v>
      </c>
      <c r="D35" s="1571"/>
      <c r="E35" s="495">
        <v>-1.33857</v>
      </c>
      <c r="F35" s="496"/>
      <c r="G35" s="528"/>
      <c r="H35" s="504">
        <f t="shared" si="1"/>
        <v>25</v>
      </c>
      <c r="J35" s="518"/>
    </row>
    <row r="36" spans="1:20">
      <c r="A36" s="504">
        <f t="shared" si="0"/>
        <v>26</v>
      </c>
      <c r="B36" s="1569">
        <v>923</v>
      </c>
      <c r="C36" s="1570" t="s">
        <v>968</v>
      </c>
      <c r="D36" s="1572">
        <v>74.15849</v>
      </c>
      <c r="E36" s="1573"/>
      <c r="F36" s="496"/>
      <c r="G36" s="528"/>
      <c r="H36" s="504">
        <f t="shared" si="1"/>
        <v>26</v>
      </c>
      <c r="J36" s="527"/>
    </row>
    <row r="37" spans="1:20">
      <c r="A37" s="504">
        <f t="shared" si="0"/>
        <v>27</v>
      </c>
      <c r="B37" s="1569"/>
      <c r="C37" s="1570" t="s">
        <v>189</v>
      </c>
      <c r="D37" s="1574">
        <v>78.949559999999991</v>
      </c>
      <c r="E37" s="495">
        <f>SUM(D36:D37)</f>
        <v>153.10804999999999</v>
      </c>
      <c r="F37" s="496"/>
      <c r="G37" s="528"/>
      <c r="H37" s="504">
        <f t="shared" si="1"/>
        <v>27</v>
      </c>
      <c r="J37" s="527"/>
    </row>
    <row r="38" spans="1:20">
      <c r="A38" s="504">
        <f t="shared" si="0"/>
        <v>28</v>
      </c>
      <c r="B38" s="1569">
        <v>925</v>
      </c>
      <c r="C38" s="1575" t="s">
        <v>189</v>
      </c>
      <c r="D38" s="1573">
        <v>268.99521833499995</v>
      </c>
      <c r="F38" s="496"/>
      <c r="G38" s="528"/>
      <c r="H38" s="504">
        <f t="shared" si="1"/>
        <v>28</v>
      </c>
      <c r="J38" s="527"/>
    </row>
    <row r="39" spans="1:20">
      <c r="A39" s="504">
        <f t="shared" si="0"/>
        <v>29</v>
      </c>
      <c r="B39" s="1569"/>
      <c r="C39" s="1575" t="s">
        <v>296</v>
      </c>
      <c r="D39" s="1573">
        <v>0</v>
      </c>
      <c r="F39" s="1290"/>
      <c r="G39" s="1291"/>
      <c r="H39" s="504">
        <f t="shared" si="1"/>
        <v>29</v>
      </c>
      <c r="J39" s="527"/>
    </row>
    <row r="40" spans="1:20">
      <c r="A40" s="504">
        <f t="shared" si="0"/>
        <v>30</v>
      </c>
      <c r="B40" s="1569"/>
      <c r="C40" s="1576" t="s">
        <v>979</v>
      </c>
      <c r="D40" s="1574">
        <v>66.983239999999995</v>
      </c>
      <c r="E40" s="495">
        <f>SUM(D38:D40)</f>
        <v>335.97845833499991</v>
      </c>
      <c r="F40" s="496"/>
      <c r="G40" s="528"/>
      <c r="H40" s="504">
        <f t="shared" si="1"/>
        <v>30</v>
      </c>
      <c r="J40" s="527"/>
    </row>
    <row r="41" spans="1:20">
      <c r="A41" s="504">
        <f t="shared" si="0"/>
        <v>31</v>
      </c>
      <c r="B41" s="1569">
        <v>926</v>
      </c>
      <c r="C41" s="1575" t="s">
        <v>189</v>
      </c>
      <c r="D41" s="1573">
        <v>730.03415291299996</v>
      </c>
      <c r="E41" s="1573"/>
      <c r="F41" s="496"/>
      <c r="G41" s="528"/>
      <c r="H41" s="504">
        <f t="shared" si="1"/>
        <v>31</v>
      </c>
      <c r="I41" s="522"/>
      <c r="J41" s="527"/>
      <c r="K41" s="522"/>
      <c r="L41" s="522"/>
      <c r="M41" s="522"/>
      <c r="N41" s="522"/>
      <c r="O41" s="522"/>
      <c r="P41" s="522"/>
      <c r="Q41" s="522"/>
      <c r="R41" s="522"/>
      <c r="S41" s="522"/>
      <c r="T41" s="522"/>
    </row>
    <row r="42" spans="1:20">
      <c r="A42" s="504">
        <f t="shared" si="0"/>
        <v>32</v>
      </c>
      <c r="B42" s="1569"/>
      <c r="C42" s="1575" t="s">
        <v>979</v>
      </c>
      <c r="D42" s="1574">
        <v>183.35011</v>
      </c>
      <c r="E42" s="495">
        <f>SUM(D41:D42)</f>
        <v>913.38426291299993</v>
      </c>
      <c r="F42" s="1290"/>
      <c r="G42" s="1291"/>
      <c r="H42" s="504">
        <f t="shared" si="1"/>
        <v>32</v>
      </c>
      <c r="I42" s="522"/>
      <c r="J42" s="527"/>
      <c r="K42" s="522"/>
      <c r="L42" s="522"/>
      <c r="M42" s="522"/>
      <c r="N42" s="522"/>
      <c r="O42" s="522"/>
      <c r="P42" s="522"/>
      <c r="Q42" s="522"/>
      <c r="R42" s="522"/>
      <c r="S42" s="522"/>
      <c r="T42" s="522"/>
    </row>
    <row r="43" spans="1:20">
      <c r="A43" s="504">
        <f t="shared" si="0"/>
        <v>33</v>
      </c>
      <c r="B43" s="1569">
        <v>927</v>
      </c>
      <c r="C43" s="1575" t="s">
        <v>183</v>
      </c>
      <c r="D43" s="1577"/>
      <c r="E43" s="1573">
        <v>127615.79129000001</v>
      </c>
      <c r="F43" s="496"/>
      <c r="G43" s="528"/>
      <c r="H43" s="504">
        <f t="shared" si="1"/>
        <v>33</v>
      </c>
      <c r="I43" s="522"/>
      <c r="J43" s="527"/>
      <c r="K43" s="522"/>
      <c r="L43" s="522"/>
      <c r="M43" s="522"/>
      <c r="N43" s="522"/>
      <c r="O43" s="522"/>
      <c r="P43" s="522"/>
      <c r="Q43" s="522"/>
      <c r="R43" s="522"/>
      <c r="S43" s="522"/>
      <c r="T43" s="522"/>
    </row>
    <row r="44" spans="1:20">
      <c r="A44" s="504">
        <f t="shared" si="0"/>
        <v>34</v>
      </c>
      <c r="B44" s="1569">
        <v>928</v>
      </c>
      <c r="C44" s="1575" t="s">
        <v>189</v>
      </c>
      <c r="D44" s="1573">
        <v>0</v>
      </c>
      <c r="E44" s="1573"/>
      <c r="F44" s="496"/>
      <c r="G44" s="528"/>
      <c r="H44" s="504">
        <f t="shared" si="1"/>
        <v>34</v>
      </c>
      <c r="I44" s="522"/>
      <c r="J44" s="527"/>
      <c r="K44" s="522"/>
      <c r="L44" s="522"/>
      <c r="M44" s="522"/>
      <c r="N44" s="522"/>
      <c r="O44" s="522"/>
      <c r="P44" s="522"/>
      <c r="Q44" s="522"/>
      <c r="R44" s="522"/>
      <c r="S44" s="522"/>
      <c r="T44" s="522"/>
    </row>
    <row r="45" spans="1:20">
      <c r="A45" s="504">
        <f t="shared" si="0"/>
        <v>35</v>
      </c>
      <c r="B45" s="1569"/>
      <c r="C45" s="1570" t="s">
        <v>190</v>
      </c>
      <c r="D45" s="1573">
        <v>0</v>
      </c>
      <c r="E45" s="1573"/>
      <c r="F45" s="496"/>
      <c r="G45" s="528"/>
      <c r="H45" s="504">
        <f t="shared" si="1"/>
        <v>35</v>
      </c>
      <c r="I45" s="522"/>
      <c r="J45" s="527"/>
      <c r="K45" s="522"/>
      <c r="L45" s="522"/>
      <c r="M45" s="522"/>
      <c r="N45" s="522"/>
      <c r="O45" s="522"/>
      <c r="P45" s="522"/>
      <c r="Q45" s="522"/>
      <c r="R45" s="522"/>
      <c r="S45" s="522"/>
      <c r="T45" s="522"/>
    </row>
    <row r="46" spans="1:20">
      <c r="A46" s="504">
        <f t="shared" si="0"/>
        <v>36</v>
      </c>
      <c r="B46" s="1569"/>
      <c r="C46" s="1570" t="s">
        <v>191</v>
      </c>
      <c r="D46" s="1573">
        <v>1212.49029</v>
      </c>
      <c r="E46" s="1578"/>
      <c r="F46" s="496"/>
      <c r="G46" s="528"/>
      <c r="H46" s="504">
        <f t="shared" si="1"/>
        <v>36</v>
      </c>
      <c r="I46" s="522"/>
      <c r="J46" s="527"/>
      <c r="K46" s="522"/>
      <c r="L46" s="522"/>
      <c r="M46" s="522"/>
      <c r="N46" s="522"/>
      <c r="O46" s="522"/>
      <c r="P46" s="522"/>
      <c r="Q46" s="522"/>
      <c r="R46" s="522"/>
      <c r="S46" s="522"/>
      <c r="T46" s="522"/>
    </row>
    <row r="47" spans="1:20">
      <c r="A47" s="504">
        <f t="shared" si="0"/>
        <v>37</v>
      </c>
      <c r="B47" s="1569"/>
      <c r="C47" s="1570" t="s">
        <v>192</v>
      </c>
      <c r="D47" s="1573">
        <v>9790.5481500000005</v>
      </c>
      <c r="E47" s="1579"/>
      <c r="F47" s="1292"/>
      <c r="G47" s="528"/>
      <c r="H47" s="504">
        <f t="shared" si="1"/>
        <v>37</v>
      </c>
      <c r="I47" s="522"/>
      <c r="J47" s="527"/>
      <c r="K47" s="522"/>
      <c r="L47" s="522"/>
      <c r="M47" s="522"/>
      <c r="N47" s="522"/>
      <c r="O47" s="522"/>
      <c r="P47" s="522"/>
      <c r="Q47" s="522"/>
      <c r="R47" s="522"/>
      <c r="S47" s="522"/>
      <c r="T47" s="522"/>
    </row>
    <row r="48" spans="1:20">
      <c r="A48" s="504">
        <f t="shared" si="0"/>
        <v>38</v>
      </c>
      <c r="B48" s="1580"/>
      <c r="C48" s="1575" t="s">
        <v>193</v>
      </c>
      <c r="D48" s="1574">
        <v>131.66149999999999</v>
      </c>
      <c r="E48" s="1581">
        <f>SUM(D44:D48)</f>
        <v>11134.69994</v>
      </c>
      <c r="F48" s="1292"/>
      <c r="G48" s="528"/>
      <c r="H48" s="504">
        <f t="shared" si="1"/>
        <v>38</v>
      </c>
      <c r="I48" s="522"/>
      <c r="J48" s="522"/>
      <c r="K48" s="522"/>
      <c r="L48" s="522"/>
      <c r="M48" s="522"/>
      <c r="N48" s="522"/>
      <c r="O48" s="522"/>
      <c r="P48" s="522"/>
      <c r="Q48" s="522"/>
      <c r="R48" s="522"/>
      <c r="S48" s="522"/>
      <c r="T48" s="522"/>
    </row>
    <row r="49" spans="1:20">
      <c r="A49" s="504">
        <f t="shared" si="0"/>
        <v>39</v>
      </c>
      <c r="B49" s="1582">
        <v>930.1</v>
      </c>
      <c r="C49" s="1570" t="s">
        <v>185</v>
      </c>
      <c r="D49" s="1577"/>
      <c r="E49" s="1573">
        <v>112.52861999999999</v>
      </c>
      <c r="F49" s="1292"/>
      <c r="G49" s="528"/>
      <c r="H49" s="504">
        <f t="shared" si="1"/>
        <v>39</v>
      </c>
      <c r="I49" s="522"/>
      <c r="J49" s="522"/>
      <c r="K49" s="522"/>
      <c r="L49" s="522"/>
      <c r="M49" s="522"/>
      <c r="N49" s="522"/>
      <c r="O49" s="522"/>
      <c r="P49" s="522"/>
      <c r="Q49" s="522"/>
      <c r="R49" s="522"/>
      <c r="S49" s="522"/>
      <c r="T49" s="522"/>
    </row>
    <row r="50" spans="1:20">
      <c r="A50" s="504">
        <f t="shared" si="0"/>
        <v>40</v>
      </c>
      <c r="B50" s="1582">
        <v>930.2</v>
      </c>
      <c r="C50" s="1575" t="s">
        <v>194</v>
      </c>
      <c r="D50" s="1581">
        <v>0</v>
      </c>
      <c r="E50" s="1583"/>
      <c r="F50" s="433"/>
      <c r="G50" s="528"/>
      <c r="H50" s="504">
        <f t="shared" si="1"/>
        <v>40</v>
      </c>
    </row>
    <row r="51" spans="1:20">
      <c r="A51" s="504">
        <f t="shared" si="0"/>
        <v>41</v>
      </c>
      <c r="B51" s="1582"/>
      <c r="C51" s="1575" t="s">
        <v>195</v>
      </c>
      <c r="D51" s="1584">
        <v>576.97162999999989</v>
      </c>
      <c r="E51" s="1581">
        <f>SUM(D50:D51)</f>
        <v>576.97162999999989</v>
      </c>
      <c r="F51" s="433"/>
      <c r="G51" s="528"/>
      <c r="H51" s="504">
        <f t="shared" si="1"/>
        <v>41</v>
      </c>
    </row>
    <row r="52" spans="1:20">
      <c r="A52" s="504">
        <f t="shared" si="0"/>
        <v>42</v>
      </c>
      <c r="B52" s="1569">
        <v>935</v>
      </c>
      <c r="C52" s="1585" t="s">
        <v>196</v>
      </c>
      <c r="D52" s="1581">
        <v>39.414587415</v>
      </c>
      <c r="E52" s="1583"/>
      <c r="F52" s="433"/>
      <c r="G52" s="528"/>
      <c r="H52" s="504">
        <f t="shared" si="1"/>
        <v>42</v>
      </c>
    </row>
    <row r="53" spans="1:20">
      <c r="A53" s="504">
        <f t="shared" si="0"/>
        <v>43</v>
      </c>
      <c r="B53" s="1569"/>
      <c r="C53" s="1585" t="s">
        <v>189</v>
      </c>
      <c r="D53" s="1584">
        <v>1463.1121000000001</v>
      </c>
      <c r="E53" s="1581">
        <f>SUM(D52:D53)</f>
        <v>1502.526687415</v>
      </c>
      <c r="F53" s="433"/>
      <c r="G53" s="528"/>
      <c r="H53" s="504">
        <f t="shared" si="1"/>
        <v>43</v>
      </c>
    </row>
    <row r="54" spans="1:20">
      <c r="A54" s="504">
        <f t="shared" si="0"/>
        <v>44</v>
      </c>
      <c r="B54" s="1586"/>
      <c r="C54" s="1587"/>
      <c r="D54" s="1588"/>
      <c r="E54" s="290"/>
      <c r="F54" s="433"/>
      <c r="G54" s="528"/>
      <c r="H54" s="504">
        <f t="shared" si="1"/>
        <v>44</v>
      </c>
    </row>
    <row r="55" spans="1:20" ht="16.5" thickBot="1">
      <c r="A55" s="504">
        <f t="shared" si="0"/>
        <v>45</v>
      </c>
      <c r="B55" s="537"/>
      <c r="C55" s="1589" t="s">
        <v>177</v>
      </c>
      <c r="D55" s="1590"/>
      <c r="E55" s="542">
        <f>SUM(E34:E53)</f>
        <v>142435.51745866297</v>
      </c>
      <c r="F55" s="433"/>
      <c r="G55" s="528"/>
      <c r="H55" s="504">
        <f t="shared" si="1"/>
        <v>45</v>
      </c>
    </row>
    <row r="56" spans="1:20" ht="16.5" thickTop="1">
      <c r="A56" s="504">
        <f t="shared" si="0"/>
        <v>46</v>
      </c>
      <c r="B56" s="537"/>
      <c r="C56" s="1589"/>
      <c r="D56" s="1590"/>
      <c r="E56" s="543"/>
      <c r="F56" s="433"/>
      <c r="G56" s="528"/>
      <c r="H56" s="504">
        <f t="shared" si="1"/>
        <v>46</v>
      </c>
    </row>
    <row r="57" spans="1:20">
      <c r="A57" s="504">
        <f t="shared" si="0"/>
        <v>47</v>
      </c>
      <c r="B57" s="537"/>
      <c r="C57" s="541"/>
      <c r="D57" s="496"/>
      <c r="E57" s="543"/>
      <c r="F57" s="433"/>
      <c r="G57" s="528"/>
      <c r="H57" s="504">
        <f t="shared" si="1"/>
        <v>47</v>
      </c>
    </row>
    <row r="58" spans="1:20" ht="18.75">
      <c r="A58" s="504">
        <f t="shared" si="0"/>
        <v>48</v>
      </c>
      <c r="B58" s="493">
        <v>1</v>
      </c>
      <c r="C58" s="92" t="str">
        <f>"This amount represents the Non-Direct A&amp;G expenses billed to Citizens in "&amp;Automation!B3&amp;", which is added back to derive Total Adjusted A&amp;G Expenses in SAP"</f>
        <v>This amount represents the Non-Direct A&amp;G expenses billed to Citizens in 2019, which is added back to derive Total Adjusted A&amp;G Expenses in SAP</v>
      </c>
      <c r="D58" s="496"/>
      <c r="E58" s="543"/>
      <c r="F58" s="433"/>
      <c r="G58" s="528"/>
      <c r="H58" s="504">
        <f t="shared" si="1"/>
        <v>48</v>
      </c>
    </row>
    <row r="59" spans="1:20" ht="18.75">
      <c r="A59" s="504">
        <f t="shared" si="0"/>
        <v>49</v>
      </c>
      <c r="B59" s="1369"/>
      <c r="C59" s="4" t="s">
        <v>963</v>
      </c>
      <c r="D59" s="496"/>
      <c r="E59" s="543"/>
      <c r="F59" s="433"/>
      <c r="G59" s="528"/>
      <c r="H59" s="504">
        <f t="shared" si="1"/>
        <v>49</v>
      </c>
    </row>
    <row r="60" spans="1:20" ht="16.5" thickBot="1">
      <c r="A60" s="504">
        <f t="shared" si="0"/>
        <v>50</v>
      </c>
      <c r="B60" s="545"/>
      <c r="C60" s="546"/>
      <c r="D60" s="497"/>
      <c r="E60" s="497"/>
      <c r="F60" s="497"/>
      <c r="G60" s="536"/>
      <c r="H60" s="504">
        <f t="shared" si="1"/>
        <v>50</v>
      </c>
    </row>
    <row r="61" spans="1:20">
      <c r="A61" s="504"/>
      <c r="B61" s="496"/>
      <c r="C61" s="544"/>
      <c r="D61" s="496"/>
      <c r="E61" s="496"/>
      <c r="F61" s="496"/>
      <c r="G61" s="496"/>
      <c r="H61" s="504"/>
    </row>
    <row r="62" spans="1:20">
      <c r="A62" s="498"/>
      <c r="B62" s="496"/>
      <c r="C62" s="544"/>
      <c r="D62" s="547"/>
      <c r="E62" s="547"/>
      <c r="F62" s="496"/>
      <c r="G62" s="496"/>
      <c r="H62" s="504"/>
    </row>
    <row r="63" spans="1:20" ht="18.75">
      <c r="A63" s="548"/>
      <c r="B63" s="226"/>
      <c r="C63" s="4"/>
      <c r="D63" s="113"/>
      <c r="E63" s="113"/>
      <c r="F63" s="113"/>
      <c r="G63" s="496"/>
      <c r="H63" s="504"/>
    </row>
    <row r="64" spans="1:20" ht="18.75">
      <c r="A64" s="548"/>
      <c r="B64" s="226"/>
      <c r="C64" s="106"/>
      <c r="D64" s="113"/>
      <c r="E64" s="111"/>
      <c r="F64" s="113"/>
      <c r="G64" s="496"/>
      <c r="H64" s="504"/>
    </row>
    <row r="65" spans="1:8" ht="18.75">
      <c r="A65" s="548"/>
      <c r="B65" s="587"/>
      <c r="C65" s="4"/>
      <c r="D65" s="4"/>
      <c r="E65" s="4"/>
      <c r="F65" s="4"/>
      <c r="G65" s="496"/>
      <c r="H65" s="504"/>
    </row>
    <row r="66" spans="1:8" ht="18.75">
      <c r="A66" s="548"/>
      <c r="C66" s="544"/>
      <c r="D66" s="496"/>
      <c r="E66" s="496"/>
      <c r="F66" s="496"/>
      <c r="G66" s="496"/>
      <c r="H66" s="504"/>
    </row>
    <row r="67" spans="1:8" ht="18.75">
      <c r="A67" s="548"/>
      <c r="C67" s="544"/>
      <c r="D67" s="496"/>
      <c r="E67" s="496"/>
      <c r="F67" s="496"/>
      <c r="G67" s="496"/>
      <c r="H67" s="504"/>
    </row>
    <row r="68" spans="1:8" ht="18.75">
      <c r="A68" s="548"/>
      <c r="C68" s="544"/>
      <c r="D68" s="496"/>
      <c r="E68" s="496"/>
      <c r="F68" s="496"/>
      <c r="G68" s="496"/>
      <c r="H68" s="504"/>
    </row>
    <row r="69" spans="1:8">
      <c r="A69" s="498"/>
      <c r="B69" s="496"/>
      <c r="C69" s="544"/>
      <c r="D69" s="496"/>
      <c r="E69" s="496"/>
      <c r="F69" s="496"/>
      <c r="G69" s="496"/>
      <c r="H69" s="504"/>
    </row>
    <row r="70" spans="1:8" ht="18.75">
      <c r="A70" s="548"/>
      <c r="B70" s="496"/>
      <c r="C70" s="544"/>
      <c r="D70" s="496"/>
      <c r="E70" s="496"/>
      <c r="F70" s="496"/>
      <c r="G70" s="496"/>
      <c r="H70" s="504"/>
    </row>
    <row r="71" spans="1:8">
      <c r="A71" s="498"/>
      <c r="B71" s="496"/>
      <c r="C71" s="544"/>
      <c r="D71" s="496"/>
      <c r="E71" s="496"/>
      <c r="F71" s="496"/>
      <c r="G71" s="496"/>
      <c r="H71" s="504"/>
    </row>
    <row r="72" spans="1:8" ht="18.75">
      <c r="A72" s="548"/>
      <c r="B72" s="496"/>
      <c r="C72" s="544"/>
      <c r="D72" s="496"/>
      <c r="E72" s="496"/>
      <c r="F72" s="496"/>
      <c r="G72" s="496"/>
      <c r="H72" s="504"/>
    </row>
    <row r="73" spans="1:8">
      <c r="A73" s="498"/>
      <c r="B73" s="496"/>
      <c r="C73" s="544"/>
      <c r="D73" s="496"/>
      <c r="E73" s="496"/>
      <c r="F73" s="496"/>
      <c r="G73" s="496"/>
      <c r="H73" s="504"/>
    </row>
    <row r="74" spans="1:8" ht="18.75">
      <c r="A74" s="548"/>
      <c r="B74" s="496"/>
      <c r="C74" s="544"/>
      <c r="D74" s="496"/>
      <c r="E74" s="496"/>
      <c r="F74" s="496"/>
      <c r="G74" s="496"/>
      <c r="H74" s="504"/>
    </row>
    <row r="75" spans="1:8" ht="18.75">
      <c r="A75" s="548"/>
      <c r="B75" s="544"/>
      <c r="C75" s="496"/>
      <c r="D75" s="496"/>
      <c r="E75" s="496"/>
      <c r="F75" s="496"/>
      <c r="G75" s="496"/>
      <c r="H75" s="504"/>
    </row>
    <row r="76" spans="1:8" ht="18.75">
      <c r="A76" s="548"/>
      <c r="B76" s="544"/>
      <c r="C76" s="496"/>
      <c r="D76" s="496"/>
      <c r="E76" s="496"/>
      <c r="F76" s="496"/>
      <c r="G76" s="496"/>
      <c r="H76" s="504"/>
    </row>
    <row r="77" spans="1:8">
      <c r="A77" s="504"/>
      <c r="B77" s="544"/>
      <c r="C77" s="496"/>
      <c r="D77" s="496"/>
      <c r="E77" s="496"/>
      <c r="F77" s="496"/>
      <c r="G77" s="496"/>
      <c r="H77" s="504"/>
    </row>
    <row r="78" spans="1:8" ht="18.75">
      <c r="A78" s="548"/>
      <c r="B78" s="544"/>
      <c r="C78" s="496"/>
      <c r="D78" s="496"/>
      <c r="E78" s="496"/>
      <c r="F78" s="496"/>
      <c r="G78" s="496"/>
      <c r="H78" s="504"/>
    </row>
    <row r="79" spans="1:8">
      <c r="A79" s="549"/>
      <c r="B79" s="550"/>
      <c r="C79" s="496"/>
      <c r="D79" s="496"/>
      <c r="E79" s="496"/>
      <c r="F79" s="496"/>
      <c r="G79" s="496"/>
      <c r="H79" s="504"/>
    </row>
    <row r="80" spans="1:8">
      <c r="A80" s="504"/>
      <c r="B80" s="518"/>
      <c r="C80" s="496"/>
      <c r="D80" s="496"/>
      <c r="E80" s="496"/>
      <c r="F80" s="496"/>
      <c r="G80" s="496"/>
      <c r="H80" s="504"/>
    </row>
    <row r="81" spans="1:8">
      <c r="A81" s="504"/>
      <c r="B81" s="496"/>
      <c r="C81" s="496"/>
      <c r="D81" s="496"/>
      <c r="E81" s="496"/>
      <c r="F81" s="496"/>
      <c r="G81" s="496"/>
      <c r="H81" s="504"/>
    </row>
    <row r="82" spans="1:8">
      <c r="A82" s="504"/>
      <c r="B82" s="496"/>
      <c r="C82" s="496"/>
      <c r="D82" s="496"/>
      <c r="E82" s="496"/>
      <c r="F82" s="496"/>
      <c r="G82" s="496"/>
      <c r="H82" s="504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K37"/>
  <sheetViews>
    <sheetView zoomScale="80" zoomScaleNormal="80" zoomScalePageLayoutView="80" workbookViewId="0">
      <selection activeCell="C7" sqref="C7"/>
    </sheetView>
  </sheetViews>
  <sheetFormatPr defaultColWidth="8.85546875" defaultRowHeight="15.75"/>
  <cols>
    <col min="1" max="1" width="5.140625" style="587" customWidth="1"/>
    <col min="2" max="2" width="64.85546875" style="397" customWidth="1"/>
    <col min="3" max="3" width="21.140625" style="397" customWidth="1"/>
    <col min="4" max="4" width="1.5703125" style="397" customWidth="1"/>
    <col min="5" max="5" width="16.85546875" style="397" customWidth="1"/>
    <col min="6" max="6" width="1.5703125" style="397" customWidth="1"/>
    <col min="7" max="7" width="34.5703125" style="397" customWidth="1"/>
    <col min="8" max="8" width="5.140625" style="397" customWidth="1"/>
    <col min="9" max="9" width="8.85546875" style="397"/>
    <col min="10" max="10" width="20.42578125" style="397" bestFit="1" customWidth="1"/>
    <col min="11" max="16384" width="8.85546875" style="397"/>
  </cols>
  <sheetData>
    <row r="1" spans="1:11">
      <c r="A1" s="1188"/>
      <c r="E1" s="671"/>
      <c r="F1" s="670"/>
      <c r="G1" s="587"/>
      <c r="H1" s="583"/>
    </row>
    <row r="2" spans="1:11">
      <c r="B2" s="1650" t="s">
        <v>17</v>
      </c>
      <c r="C2" s="1650"/>
      <c r="D2" s="1650"/>
      <c r="E2" s="1650"/>
      <c r="F2" s="1635"/>
      <c r="G2" s="1635"/>
      <c r="H2" s="587"/>
    </row>
    <row r="3" spans="1:11">
      <c r="B3" s="1650" t="s">
        <v>1028</v>
      </c>
      <c r="C3" s="1650"/>
      <c r="D3" s="1650"/>
      <c r="E3" s="1650"/>
      <c r="F3" s="1635"/>
      <c r="G3" s="1635"/>
      <c r="H3" s="587"/>
    </row>
    <row r="4" spans="1:11">
      <c r="B4" s="1650" t="s">
        <v>298</v>
      </c>
      <c r="C4" s="1650"/>
      <c r="D4" s="1650"/>
      <c r="E4" s="1650"/>
      <c r="F4" s="1635"/>
      <c r="G4" s="1635"/>
      <c r="H4" s="587"/>
    </row>
    <row r="5" spans="1:11">
      <c r="B5" s="1651" t="str">
        <f>'A. Sec.1 - Direct Maintenance'!B5</f>
        <v>Base Period &amp; True-Up Period 12 - Months Ending December 31, 2019</v>
      </c>
      <c r="C5" s="1651"/>
      <c r="D5" s="1651"/>
      <c r="E5" s="1651"/>
      <c r="F5" s="1637"/>
      <c r="G5" s="1637"/>
      <c r="H5" s="587"/>
    </row>
    <row r="6" spans="1:11">
      <c r="B6" s="1646" t="s">
        <v>2</v>
      </c>
      <c r="C6" s="1643"/>
      <c r="D6" s="1643"/>
      <c r="E6" s="1643"/>
      <c r="F6" s="1643"/>
      <c r="G6" s="1643"/>
      <c r="H6" s="587"/>
    </row>
    <row r="7" spans="1:11">
      <c r="B7" s="583"/>
      <c r="C7" s="583"/>
      <c r="D7" s="583"/>
      <c r="E7" s="583"/>
      <c r="F7" s="1188"/>
      <c r="G7" s="587"/>
      <c r="H7" s="587"/>
    </row>
    <row r="8" spans="1:11">
      <c r="A8" s="587" t="s">
        <v>3</v>
      </c>
      <c r="B8" s="1188"/>
      <c r="C8" s="583" t="s">
        <v>472</v>
      </c>
      <c r="D8" s="1188"/>
      <c r="E8" s="1188"/>
      <c r="F8" s="1188"/>
      <c r="G8" s="587"/>
      <c r="H8" s="587" t="s">
        <v>3</v>
      </c>
    </row>
    <row r="9" spans="1:11">
      <c r="A9" s="445" t="s">
        <v>24</v>
      </c>
      <c r="B9" s="665"/>
      <c r="C9" s="585" t="s">
        <v>473</v>
      </c>
      <c r="E9" s="666" t="s">
        <v>123</v>
      </c>
      <c r="F9" s="587"/>
      <c r="G9" s="486" t="s">
        <v>8</v>
      </c>
      <c r="H9" s="445" t="s">
        <v>24</v>
      </c>
    </row>
    <row r="10" spans="1:11">
      <c r="A10" s="583"/>
      <c r="F10" s="587"/>
      <c r="G10" s="667"/>
      <c r="H10" s="583"/>
    </row>
    <row r="11" spans="1:11">
      <c r="A11" s="583">
        <v>1</v>
      </c>
      <c r="B11" s="4" t="s">
        <v>197</v>
      </c>
      <c r="C11" s="103" t="s">
        <v>571</v>
      </c>
      <c r="E11" s="669">
        <v>12140.319219999999</v>
      </c>
      <c r="F11" s="670"/>
      <c r="G11" s="7"/>
      <c r="H11" s="583">
        <f>A11</f>
        <v>1</v>
      </c>
      <c r="K11" s="668"/>
    </row>
    <row r="12" spans="1:11">
      <c r="A12" s="583">
        <f>+A11+1</f>
        <v>2</v>
      </c>
      <c r="B12" s="4"/>
      <c r="C12" s="910"/>
      <c r="E12" s="671"/>
      <c r="F12" s="670"/>
      <c r="G12" s="7"/>
      <c r="H12" s="583">
        <f>+H11+1</f>
        <v>2</v>
      </c>
      <c r="K12" s="668"/>
    </row>
    <row r="13" spans="1:11" ht="18.75">
      <c r="A13" s="583">
        <f t="shared" ref="A13:A27" si="0">+A12+1</f>
        <v>3</v>
      </c>
      <c r="B13" s="93" t="s">
        <v>497</v>
      </c>
      <c r="C13" s="910"/>
      <c r="D13" s="665"/>
      <c r="E13" s="672">
        <f>'AI-1'!E58</f>
        <v>12874.861580000008</v>
      </c>
      <c r="F13" s="670"/>
      <c r="G13" s="7" t="str">
        <f>"AI-1; Line "&amp;'AI-1'!A58</f>
        <v>AI-1; Line 49</v>
      </c>
      <c r="H13" s="583">
        <f t="shared" ref="H13:H27" si="1">+H12+1</f>
        <v>3</v>
      </c>
      <c r="K13" s="668"/>
    </row>
    <row r="14" spans="1:11">
      <c r="A14" s="583">
        <f t="shared" si="0"/>
        <v>4</v>
      </c>
      <c r="B14" s="93"/>
      <c r="C14" s="910"/>
      <c r="D14" s="665"/>
      <c r="E14" s="673"/>
      <c r="F14" s="670"/>
      <c r="G14" s="7"/>
      <c r="H14" s="583">
        <f t="shared" si="1"/>
        <v>4</v>
      </c>
      <c r="K14" s="668"/>
    </row>
    <row r="15" spans="1:11" ht="18.75">
      <c r="A15" s="583">
        <f t="shared" si="0"/>
        <v>5</v>
      </c>
      <c r="B15" s="93" t="s">
        <v>496</v>
      </c>
      <c r="C15" s="910"/>
      <c r="D15" s="665"/>
      <c r="E15" s="672">
        <f>'AI-1'!E56</f>
        <v>11435.232120000001</v>
      </c>
      <c r="F15" s="670"/>
      <c r="G15" s="7" t="str">
        <f>"AI-1; Line "&amp;'AI-1'!A56</f>
        <v>AI-1; Line 47</v>
      </c>
      <c r="H15" s="583">
        <f t="shared" si="1"/>
        <v>5</v>
      </c>
      <c r="K15" s="668"/>
    </row>
    <row r="16" spans="1:11">
      <c r="A16" s="583">
        <f t="shared" si="0"/>
        <v>6</v>
      </c>
      <c r="B16" s="93"/>
      <c r="C16" s="910"/>
      <c r="D16" s="665"/>
      <c r="E16" s="673"/>
      <c r="F16" s="670"/>
      <c r="G16" s="7"/>
      <c r="H16" s="583">
        <f t="shared" si="1"/>
        <v>6</v>
      </c>
      <c r="K16" s="668"/>
    </row>
    <row r="17" spans="1:11">
      <c r="A17" s="583">
        <f t="shared" si="0"/>
        <v>7</v>
      </c>
      <c r="B17" s="93" t="s">
        <v>199</v>
      </c>
      <c r="C17" s="103" t="s">
        <v>572</v>
      </c>
      <c r="D17" s="665"/>
      <c r="E17" s="672">
        <v>54457.102989999999</v>
      </c>
      <c r="F17" s="670"/>
      <c r="G17" s="7"/>
      <c r="H17" s="583">
        <f t="shared" si="1"/>
        <v>7</v>
      </c>
      <c r="K17" s="668"/>
    </row>
    <row r="18" spans="1:11">
      <c r="A18" s="583">
        <f t="shared" si="0"/>
        <v>8</v>
      </c>
      <c r="B18" s="93"/>
      <c r="C18" s="103"/>
      <c r="D18" s="665"/>
      <c r="E18" s="673"/>
      <c r="F18" s="670"/>
      <c r="G18" s="7"/>
      <c r="H18" s="583">
        <f t="shared" si="1"/>
        <v>8</v>
      </c>
      <c r="K18" s="668"/>
    </row>
    <row r="19" spans="1:11">
      <c r="A19" s="583">
        <f t="shared" si="0"/>
        <v>9</v>
      </c>
      <c r="B19" s="93" t="s">
        <v>200</v>
      </c>
      <c r="C19" s="103" t="s">
        <v>573</v>
      </c>
      <c r="D19" s="665"/>
      <c r="E19" s="672">
        <v>18054.75244</v>
      </c>
      <c r="F19" s="670"/>
      <c r="G19" s="7"/>
      <c r="H19" s="583">
        <f t="shared" si="1"/>
        <v>9</v>
      </c>
      <c r="K19" s="668"/>
    </row>
    <row r="20" spans="1:11">
      <c r="A20" s="583">
        <f t="shared" si="0"/>
        <v>10</v>
      </c>
      <c r="B20" s="93"/>
      <c r="C20" s="103"/>
      <c r="D20" s="665"/>
      <c r="E20" s="674"/>
      <c r="F20" s="670"/>
      <c r="G20" s="7"/>
      <c r="H20" s="583">
        <f t="shared" si="1"/>
        <v>10</v>
      </c>
      <c r="K20" s="668"/>
    </row>
    <row r="21" spans="1:11">
      <c r="A21" s="583">
        <f t="shared" si="0"/>
        <v>11</v>
      </c>
      <c r="B21" s="93" t="s">
        <v>201</v>
      </c>
      <c r="C21" s="103" t="s">
        <v>574</v>
      </c>
      <c r="D21" s="665"/>
      <c r="E21" s="589">
        <v>17968.805700000001</v>
      </c>
      <c r="F21" s="670"/>
      <c r="G21" s="7"/>
      <c r="H21" s="583">
        <f t="shared" si="1"/>
        <v>11</v>
      </c>
      <c r="K21" s="668"/>
    </row>
    <row r="22" spans="1:11">
      <c r="A22" s="583">
        <f t="shared" si="0"/>
        <v>12</v>
      </c>
      <c r="B22" s="93"/>
      <c r="C22" s="103"/>
      <c r="D22" s="665"/>
      <c r="E22" s="671"/>
      <c r="F22" s="670"/>
      <c r="G22" s="7"/>
      <c r="H22" s="583">
        <f t="shared" si="1"/>
        <v>12</v>
      </c>
    </row>
    <row r="23" spans="1:11">
      <c r="A23" s="583">
        <f t="shared" si="0"/>
        <v>13</v>
      </c>
      <c r="B23" s="93" t="s">
        <v>202</v>
      </c>
      <c r="C23" s="103" t="s">
        <v>575</v>
      </c>
      <c r="D23" s="665"/>
      <c r="E23" s="654">
        <v>0</v>
      </c>
      <c r="F23" s="670"/>
      <c r="G23" s="7"/>
      <c r="H23" s="583">
        <f t="shared" si="1"/>
        <v>13</v>
      </c>
    </row>
    <row r="24" spans="1:11">
      <c r="A24" s="583">
        <f t="shared" si="0"/>
        <v>14</v>
      </c>
      <c r="B24" s="93"/>
      <c r="C24" s="911"/>
      <c r="D24" s="665"/>
      <c r="E24" s="675"/>
      <c r="F24" s="670"/>
      <c r="G24" s="7"/>
      <c r="H24" s="583">
        <f t="shared" si="1"/>
        <v>14</v>
      </c>
    </row>
    <row r="25" spans="1:11" ht="16.5" thickBot="1">
      <c r="A25" s="583">
        <f t="shared" si="0"/>
        <v>15</v>
      </c>
      <c r="B25" s="4" t="s">
        <v>831</v>
      </c>
      <c r="C25" s="911"/>
      <c r="D25" s="665"/>
      <c r="E25" s="989">
        <f>SUM(E11:E23)</f>
        <v>126931.07405000001</v>
      </c>
      <c r="F25" s="670"/>
      <c r="G25" s="102" t="str">
        <f>"Sum Lines "&amp;A11&amp;" thru "&amp;A23</f>
        <v>Sum Lines 1 thru 13</v>
      </c>
      <c r="H25" s="583">
        <f t="shared" si="1"/>
        <v>15</v>
      </c>
    </row>
    <row r="26" spans="1:11" ht="16.5" thickTop="1">
      <c r="A26" s="583">
        <f t="shared" si="0"/>
        <v>16</v>
      </c>
      <c r="B26" s="93"/>
      <c r="C26" s="911"/>
      <c r="D26" s="665"/>
      <c r="E26" s="675"/>
      <c r="F26" s="670"/>
      <c r="G26" s="102"/>
      <c r="H26" s="583">
        <f t="shared" si="1"/>
        <v>16</v>
      </c>
    </row>
    <row r="27" spans="1:11" ht="16.5" thickBot="1">
      <c r="A27" s="583">
        <f t="shared" si="0"/>
        <v>17</v>
      </c>
      <c r="B27" s="665" t="s">
        <v>11</v>
      </c>
      <c r="C27" s="665"/>
      <c r="D27" s="665"/>
      <c r="E27" s="17">
        <f>E13/E25</f>
        <v>0.10143191236945187</v>
      </c>
      <c r="F27" s="677"/>
      <c r="G27" s="5" t="str">
        <f>"Line "&amp;A13&amp;" / Line "&amp;A25</f>
        <v>Line 3 / Line 15</v>
      </c>
      <c r="H27" s="583">
        <f t="shared" si="1"/>
        <v>17</v>
      </c>
    </row>
    <row r="28" spans="1:11" ht="16.5" thickTop="1">
      <c r="A28" s="583"/>
      <c r="B28" s="665"/>
      <c r="C28" s="665"/>
      <c r="D28" s="665"/>
      <c r="E28" s="678"/>
      <c r="F28" s="677"/>
      <c r="G28" s="587"/>
      <c r="H28" s="583"/>
    </row>
    <row r="29" spans="1:11">
      <c r="A29" s="583"/>
      <c r="C29" s="665"/>
      <c r="D29" s="665"/>
      <c r="E29" s="678"/>
      <c r="F29" s="677"/>
      <c r="G29" s="676"/>
      <c r="H29" s="583"/>
    </row>
    <row r="30" spans="1:11" ht="18.75">
      <c r="A30" s="680">
        <v>1</v>
      </c>
      <c r="B30" s="6" t="s">
        <v>782</v>
      </c>
      <c r="C30" s="665"/>
      <c r="D30" s="665"/>
      <c r="E30" s="678"/>
      <c r="F30" s="677"/>
      <c r="G30" s="587"/>
      <c r="H30" s="583"/>
    </row>
    <row r="31" spans="1:11" ht="18.75">
      <c r="A31" s="680">
        <v>2</v>
      </c>
      <c r="B31" s="6" t="s">
        <v>783</v>
      </c>
    </row>
    <row r="32" spans="1:11" ht="18.75">
      <c r="A32" s="105"/>
      <c r="B32" s="4"/>
    </row>
    <row r="33" spans="1:2">
      <c r="A33" s="5"/>
      <c r="B33" s="4"/>
    </row>
    <row r="34" spans="1:2">
      <c r="B34" s="4"/>
    </row>
    <row r="35" spans="1:2">
      <c r="B35" s="4"/>
    </row>
    <row r="36" spans="1:2">
      <c r="B36" s="4"/>
    </row>
    <row r="37" spans="1:2">
      <c r="B37" s="4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3" orientation="portrait" r:id="rId1"/>
  <headerFooter scaleWithDoc="0">
    <oddFooter>&amp;C&amp;"Times New Roman,Regular"&amp;10AI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2:J68"/>
  <sheetViews>
    <sheetView zoomScale="80" zoomScaleNormal="80" workbookViewId="0">
      <selection activeCell="C7" sqref="C7"/>
    </sheetView>
  </sheetViews>
  <sheetFormatPr defaultColWidth="8.85546875" defaultRowHeight="15.75"/>
  <cols>
    <col min="1" max="1" width="5.140625" style="163" bestFit="1" customWidth="1"/>
    <col min="2" max="2" width="11.140625" style="18" customWidth="1"/>
    <col min="3" max="3" width="69.42578125" style="18" customWidth="1"/>
    <col min="4" max="5" width="18.5703125" style="18" customWidth="1"/>
    <col min="6" max="6" width="5.140625" style="163" bestFit="1" customWidth="1"/>
    <col min="7" max="16384" width="8.85546875" style="18"/>
  </cols>
  <sheetData>
    <row r="2" spans="1:10">
      <c r="B2" s="1641" t="s">
        <v>17</v>
      </c>
      <c r="C2" s="1641"/>
      <c r="D2" s="1641"/>
      <c r="E2" s="1641"/>
      <c r="F2" s="681"/>
    </row>
    <row r="3" spans="1:10">
      <c r="B3" s="1650" t="s">
        <v>297</v>
      </c>
      <c r="C3" s="1650"/>
      <c r="D3" s="1650"/>
      <c r="E3" s="1650"/>
      <c r="F3" s="920"/>
      <c r="G3" s="430"/>
    </row>
    <row r="4" spans="1:10">
      <c r="B4" s="1665" t="s">
        <v>198</v>
      </c>
      <c r="C4" s="1665"/>
      <c r="D4" s="1665"/>
      <c r="E4" s="1665"/>
    </row>
    <row r="5" spans="1:10">
      <c r="B5" s="1666" t="str">
        <f>" 12 Months Ending December 31, "&amp;Automation!$B$3</f>
        <v xml:space="preserve"> 12 Months Ending December 31, 2019</v>
      </c>
      <c r="C5" s="1666"/>
      <c r="D5" s="1666"/>
      <c r="E5" s="1666"/>
    </row>
    <row r="6" spans="1:10">
      <c r="B6" s="1646" t="s">
        <v>2</v>
      </c>
      <c r="C6" s="1646"/>
      <c r="D6" s="1646"/>
      <c r="E6" s="1646"/>
      <c r="F6" s="916"/>
      <c r="G6" s="582"/>
    </row>
    <row r="7" spans="1:10" ht="16.5" thickBot="1">
      <c r="B7" s="137"/>
      <c r="C7" s="137"/>
      <c r="D7" s="137"/>
    </row>
    <row r="8" spans="1:10">
      <c r="A8" s="984" t="s">
        <v>3</v>
      </c>
      <c r="B8" s="990" t="s">
        <v>370</v>
      </c>
      <c r="C8" s="991"/>
      <c r="D8" s="992"/>
      <c r="E8" s="682"/>
      <c r="F8" s="985" t="s">
        <v>3</v>
      </c>
    </row>
    <row r="9" spans="1:10" ht="18.75">
      <c r="A9" s="984" t="s">
        <v>24</v>
      </c>
      <c r="B9" s="943" t="s">
        <v>70</v>
      </c>
      <c r="C9" s="944" t="s">
        <v>71</v>
      </c>
      <c r="D9" s="994" t="s">
        <v>632</v>
      </c>
      <c r="E9" s="993" t="s">
        <v>641</v>
      </c>
      <c r="F9" s="985" t="s">
        <v>24</v>
      </c>
    </row>
    <row r="10" spans="1:10">
      <c r="A10" s="984">
        <v>1</v>
      </c>
      <c r="B10" s="683" t="s">
        <v>330</v>
      </c>
      <c r="C10" s="134" t="s">
        <v>371</v>
      </c>
      <c r="D10" s="1067">
        <v>2522.8383900000003</v>
      </c>
      <c r="E10" s="1068"/>
      <c r="F10" s="985">
        <f>A10</f>
        <v>1</v>
      </c>
      <c r="H10" s="1559"/>
      <c r="I10" s="1559"/>
      <c r="J10" s="1595"/>
    </row>
    <row r="11" spans="1:10">
      <c r="A11" s="984">
        <v>2</v>
      </c>
      <c r="B11" s="683" t="s">
        <v>993</v>
      </c>
      <c r="C11" s="134" t="s">
        <v>994</v>
      </c>
      <c r="D11" s="1067">
        <v>427.66834</v>
      </c>
      <c r="E11" s="1593"/>
      <c r="F11" s="985">
        <f t="shared" ref="F11:F59" si="0">A11</f>
        <v>2</v>
      </c>
      <c r="H11" s="1559"/>
      <c r="I11" s="1559"/>
      <c r="J11" s="1595"/>
    </row>
    <row r="12" spans="1:10">
      <c r="A12" s="984">
        <v>3</v>
      </c>
      <c r="B12" s="683" t="s">
        <v>331</v>
      </c>
      <c r="C12" s="134" t="s">
        <v>372</v>
      </c>
      <c r="D12" s="1069">
        <v>1117.6516200000001</v>
      </c>
      <c r="E12" s="1068"/>
      <c r="F12" s="985">
        <f t="shared" si="0"/>
        <v>3</v>
      </c>
      <c r="H12" s="1559"/>
      <c r="I12" s="1559"/>
      <c r="J12" s="1595"/>
    </row>
    <row r="13" spans="1:10">
      <c r="A13" s="984">
        <v>4</v>
      </c>
      <c r="B13" s="683" t="s">
        <v>332</v>
      </c>
      <c r="C13" s="134" t="s">
        <v>373</v>
      </c>
      <c r="D13" s="1069">
        <v>470.13641999999999</v>
      </c>
      <c r="E13" s="1068"/>
      <c r="F13" s="985">
        <f t="shared" si="0"/>
        <v>4</v>
      </c>
      <c r="H13" s="1559"/>
      <c r="I13" s="1559"/>
      <c r="J13" s="1595"/>
    </row>
    <row r="14" spans="1:10">
      <c r="A14" s="984">
        <v>5</v>
      </c>
      <c r="B14" s="683" t="s">
        <v>333</v>
      </c>
      <c r="C14" s="134" t="s">
        <v>374</v>
      </c>
      <c r="D14" s="1069">
        <v>1003.7055</v>
      </c>
      <c r="E14" s="1068"/>
      <c r="F14" s="985">
        <f t="shared" si="0"/>
        <v>5</v>
      </c>
      <c r="H14" s="1559"/>
      <c r="I14" s="1559"/>
      <c r="J14" s="1595"/>
    </row>
    <row r="15" spans="1:10">
      <c r="A15" s="984">
        <v>6</v>
      </c>
      <c r="B15" s="1596" t="s">
        <v>334</v>
      </c>
      <c r="C15" s="134" t="s">
        <v>375</v>
      </c>
      <c r="D15" s="1069">
        <v>129.20542</v>
      </c>
      <c r="E15" s="1068"/>
      <c r="F15" s="985">
        <f t="shared" si="0"/>
        <v>6</v>
      </c>
      <c r="H15" s="1560"/>
      <c r="I15" s="1560"/>
      <c r="J15" s="1595"/>
    </row>
    <row r="16" spans="1:10">
      <c r="A16" s="984">
        <v>7</v>
      </c>
      <c r="B16" s="1596" t="s">
        <v>335</v>
      </c>
      <c r="C16" s="134" t="s">
        <v>376</v>
      </c>
      <c r="D16" s="1069">
        <v>0</v>
      </c>
      <c r="E16" s="1068"/>
      <c r="F16" s="985">
        <f t="shared" si="0"/>
        <v>7</v>
      </c>
      <c r="H16" s="1560"/>
      <c r="I16" s="1560"/>
      <c r="J16" s="1595"/>
    </row>
    <row r="17" spans="1:10">
      <c r="A17" s="984">
        <v>8</v>
      </c>
      <c r="B17" s="1596" t="s">
        <v>336</v>
      </c>
      <c r="C17" s="134" t="s">
        <v>377</v>
      </c>
      <c r="D17" s="1069">
        <v>65.406559999999999</v>
      </c>
      <c r="E17" s="1068"/>
      <c r="F17" s="985">
        <f t="shared" si="0"/>
        <v>8</v>
      </c>
      <c r="H17" s="1560"/>
      <c r="I17" s="1560"/>
      <c r="J17" s="1595"/>
    </row>
    <row r="18" spans="1:10">
      <c r="A18" s="984">
        <v>9</v>
      </c>
      <c r="B18" s="683" t="s">
        <v>337</v>
      </c>
      <c r="C18" s="134" t="s">
        <v>378</v>
      </c>
      <c r="D18" s="1069">
        <v>0</v>
      </c>
      <c r="E18" s="1070"/>
      <c r="F18" s="985">
        <f t="shared" si="0"/>
        <v>9</v>
      </c>
      <c r="H18" s="1559"/>
      <c r="I18" s="1559"/>
      <c r="J18" s="1595"/>
    </row>
    <row r="19" spans="1:10">
      <c r="A19" s="984">
        <v>10</v>
      </c>
      <c r="B19" s="1596" t="s">
        <v>338</v>
      </c>
      <c r="C19" s="134" t="s">
        <v>379</v>
      </c>
      <c r="D19" s="1069">
        <v>1.4597200000000001</v>
      </c>
      <c r="E19" s="1070"/>
      <c r="F19" s="985">
        <f t="shared" si="0"/>
        <v>10</v>
      </c>
      <c r="H19" s="1560"/>
      <c r="I19" s="1560"/>
      <c r="J19" s="1595"/>
    </row>
    <row r="20" spans="1:10">
      <c r="A20" s="984">
        <v>11</v>
      </c>
      <c r="B20" s="1596" t="s">
        <v>339</v>
      </c>
      <c r="C20" s="134" t="s">
        <v>380</v>
      </c>
      <c r="D20" s="1069">
        <v>461.25991999999997</v>
      </c>
      <c r="E20" s="1070"/>
      <c r="F20" s="985">
        <f t="shared" si="0"/>
        <v>11</v>
      </c>
      <c r="H20" s="1560"/>
      <c r="I20" s="1560"/>
      <c r="J20" s="1595"/>
    </row>
    <row r="21" spans="1:10">
      <c r="A21" s="984">
        <v>12</v>
      </c>
      <c r="B21" s="683" t="s">
        <v>340</v>
      </c>
      <c r="C21" s="134" t="s">
        <v>381</v>
      </c>
      <c r="D21" s="1069">
        <v>57.784370000000003</v>
      </c>
      <c r="E21" s="1071">
        <f>D21</f>
        <v>57.784370000000003</v>
      </c>
      <c r="F21" s="985">
        <f t="shared" si="0"/>
        <v>12</v>
      </c>
      <c r="H21" s="1559"/>
      <c r="I21" s="1559"/>
      <c r="J21" s="1595"/>
    </row>
    <row r="22" spans="1:10">
      <c r="A22" s="984">
        <v>13</v>
      </c>
      <c r="B22" s="683" t="s">
        <v>341</v>
      </c>
      <c r="C22" s="134" t="s">
        <v>382</v>
      </c>
      <c r="D22" s="1069">
        <v>1945.6192900000001</v>
      </c>
      <c r="E22" s="1072">
        <f>D22</f>
        <v>1945.6192900000001</v>
      </c>
      <c r="F22" s="985">
        <f t="shared" si="0"/>
        <v>13</v>
      </c>
      <c r="H22" s="1559"/>
      <c r="I22" s="1559"/>
      <c r="J22" s="1595"/>
    </row>
    <row r="23" spans="1:10">
      <c r="A23" s="984">
        <v>14</v>
      </c>
      <c r="B23" s="683" t="s">
        <v>995</v>
      </c>
      <c r="C23" s="134" t="s">
        <v>996</v>
      </c>
      <c r="D23" s="1069">
        <v>1.55406</v>
      </c>
      <c r="E23" s="1072">
        <f>D23</f>
        <v>1.55406</v>
      </c>
      <c r="F23" s="985">
        <f t="shared" si="0"/>
        <v>14</v>
      </c>
      <c r="H23" s="1559"/>
      <c r="I23" s="1559"/>
      <c r="J23" s="1595"/>
    </row>
    <row r="24" spans="1:10">
      <c r="A24" s="984">
        <v>15</v>
      </c>
      <c r="B24" s="683" t="s">
        <v>342</v>
      </c>
      <c r="C24" s="134" t="s">
        <v>383</v>
      </c>
      <c r="D24" s="1069">
        <v>412.23104999999998</v>
      </c>
      <c r="E24" s="1072">
        <f>D24</f>
        <v>412.23104999999998</v>
      </c>
      <c r="F24" s="985">
        <f t="shared" si="0"/>
        <v>15</v>
      </c>
      <c r="H24" s="1559"/>
      <c r="I24" s="1559"/>
      <c r="J24" s="1595"/>
    </row>
    <row r="25" spans="1:10">
      <c r="A25" s="984">
        <v>16</v>
      </c>
      <c r="B25" s="683" t="s">
        <v>343</v>
      </c>
      <c r="C25" s="134" t="s">
        <v>384</v>
      </c>
      <c r="D25" s="1069">
        <v>0</v>
      </c>
      <c r="E25" s="1072">
        <f>D25</f>
        <v>0</v>
      </c>
      <c r="F25" s="985">
        <f t="shared" si="0"/>
        <v>16</v>
      </c>
      <c r="H25" s="1559"/>
      <c r="I25" s="1559"/>
      <c r="J25" s="1595"/>
    </row>
    <row r="26" spans="1:10">
      <c r="A26" s="984">
        <v>17</v>
      </c>
      <c r="B26" s="1596" t="s">
        <v>344</v>
      </c>
      <c r="C26" s="134" t="s">
        <v>385</v>
      </c>
      <c r="D26" s="1069">
        <v>9.026489999999999</v>
      </c>
      <c r="E26" s="1072"/>
      <c r="F26" s="985">
        <f t="shared" si="0"/>
        <v>17</v>
      </c>
      <c r="H26" s="1560"/>
      <c r="I26" s="1560"/>
      <c r="J26" s="1595"/>
    </row>
    <row r="27" spans="1:10">
      <c r="A27" s="984">
        <v>18</v>
      </c>
      <c r="B27" s="683" t="s">
        <v>345</v>
      </c>
      <c r="C27" s="134" t="s">
        <v>386</v>
      </c>
      <c r="D27" s="1069">
        <v>3690.54963</v>
      </c>
      <c r="E27" s="1068"/>
      <c r="F27" s="985">
        <f t="shared" si="0"/>
        <v>18</v>
      </c>
      <c r="H27" s="1559"/>
      <c r="I27" s="1559"/>
      <c r="J27" s="1595"/>
    </row>
    <row r="28" spans="1:10">
      <c r="A28" s="984">
        <v>19</v>
      </c>
      <c r="B28" s="683" t="s">
        <v>997</v>
      </c>
      <c r="C28" s="134" t="s">
        <v>998</v>
      </c>
      <c r="D28" s="1069">
        <v>0</v>
      </c>
      <c r="E28" s="1593"/>
      <c r="F28" s="985">
        <f t="shared" si="0"/>
        <v>19</v>
      </c>
      <c r="H28" s="1559"/>
      <c r="I28" s="1559"/>
      <c r="J28" s="1595"/>
    </row>
    <row r="29" spans="1:10">
      <c r="A29" s="984">
        <v>20</v>
      </c>
      <c r="B29" s="683" t="s">
        <v>346</v>
      </c>
      <c r="C29" s="134" t="s">
        <v>387</v>
      </c>
      <c r="D29" s="1069">
        <v>0</v>
      </c>
      <c r="E29" s="1068"/>
      <c r="F29" s="985">
        <f t="shared" si="0"/>
        <v>20</v>
      </c>
      <c r="H29" s="1559"/>
      <c r="I29" s="1559"/>
      <c r="J29" s="1595"/>
    </row>
    <row r="30" spans="1:10">
      <c r="A30" s="984">
        <v>21</v>
      </c>
      <c r="B30" s="683" t="s">
        <v>347</v>
      </c>
      <c r="C30" s="134" t="s">
        <v>388</v>
      </c>
      <c r="D30" s="1069">
        <v>846.61063000000001</v>
      </c>
      <c r="E30" s="1068"/>
      <c r="F30" s="985">
        <f t="shared" si="0"/>
        <v>21</v>
      </c>
      <c r="H30" s="1559"/>
      <c r="I30" s="1559"/>
      <c r="J30" s="1595"/>
    </row>
    <row r="31" spans="1:10">
      <c r="A31" s="984">
        <v>22</v>
      </c>
      <c r="B31" s="683" t="s">
        <v>348</v>
      </c>
      <c r="C31" s="134" t="s">
        <v>389</v>
      </c>
      <c r="D31" s="1069">
        <v>14.138459999999998</v>
      </c>
      <c r="E31" s="1068"/>
      <c r="F31" s="985">
        <f t="shared" si="0"/>
        <v>22</v>
      </c>
      <c r="H31" s="1559"/>
      <c r="I31" s="1559"/>
      <c r="J31" s="1595"/>
    </row>
    <row r="32" spans="1:10">
      <c r="A32" s="984">
        <v>23</v>
      </c>
      <c r="B32" s="1596" t="s">
        <v>349</v>
      </c>
      <c r="C32" s="134" t="s">
        <v>390</v>
      </c>
      <c r="D32" s="1069">
        <v>10.708320000000001</v>
      </c>
      <c r="E32" s="1068"/>
      <c r="F32" s="985">
        <f t="shared" si="0"/>
        <v>23</v>
      </c>
      <c r="H32" s="1560"/>
      <c r="I32" s="1560"/>
      <c r="J32" s="1595"/>
    </row>
    <row r="33" spans="1:10">
      <c r="A33" s="984">
        <v>24</v>
      </c>
      <c r="B33" s="683" t="s">
        <v>350</v>
      </c>
      <c r="C33" s="134" t="s">
        <v>391</v>
      </c>
      <c r="D33" s="1069">
        <v>688.36744999999996</v>
      </c>
      <c r="E33" s="1068"/>
      <c r="F33" s="985">
        <f t="shared" si="0"/>
        <v>24</v>
      </c>
      <c r="H33" s="1559"/>
      <c r="I33" s="1559"/>
      <c r="J33" s="1595"/>
    </row>
    <row r="34" spans="1:10">
      <c r="A34" s="984">
        <v>25</v>
      </c>
      <c r="B34" s="683" t="s">
        <v>351</v>
      </c>
      <c r="C34" s="134" t="s">
        <v>392</v>
      </c>
      <c r="D34" s="1069">
        <v>739.92733999999996</v>
      </c>
      <c r="E34" s="1070"/>
      <c r="F34" s="985">
        <f t="shared" si="0"/>
        <v>25</v>
      </c>
      <c r="H34" s="1559"/>
      <c r="I34" s="1559"/>
      <c r="J34" s="1595"/>
    </row>
    <row r="35" spans="1:10">
      <c r="A35" s="984">
        <v>26</v>
      </c>
      <c r="B35" s="683" t="s">
        <v>999</v>
      </c>
      <c r="C35" s="134" t="s">
        <v>1000</v>
      </c>
      <c r="D35" s="1069">
        <v>0</v>
      </c>
      <c r="E35" s="1594"/>
      <c r="F35" s="985">
        <f t="shared" si="0"/>
        <v>26</v>
      </c>
      <c r="H35" s="1559"/>
      <c r="I35" s="1559"/>
      <c r="J35" s="1595"/>
    </row>
    <row r="36" spans="1:10">
      <c r="A36" s="984">
        <v>27</v>
      </c>
      <c r="B36" s="683" t="s">
        <v>352</v>
      </c>
      <c r="C36" s="134" t="s">
        <v>393</v>
      </c>
      <c r="D36" s="1069">
        <v>0</v>
      </c>
      <c r="E36" s="1070"/>
      <c r="F36" s="985">
        <f t="shared" si="0"/>
        <v>27</v>
      </c>
      <c r="H36" s="1559"/>
      <c r="I36" s="1559"/>
      <c r="J36" s="1595"/>
    </row>
    <row r="37" spans="1:10">
      <c r="A37" s="984">
        <v>28</v>
      </c>
      <c r="B37" s="683" t="s">
        <v>353</v>
      </c>
      <c r="C37" s="134" t="s">
        <v>394</v>
      </c>
      <c r="D37" s="1069">
        <v>218.28603000000001</v>
      </c>
      <c r="E37" s="1072">
        <f>D37</f>
        <v>218.28603000000001</v>
      </c>
      <c r="F37" s="985">
        <f t="shared" si="0"/>
        <v>28</v>
      </c>
      <c r="H37" s="1559"/>
      <c r="I37" s="1559"/>
      <c r="J37" s="1595"/>
    </row>
    <row r="38" spans="1:10">
      <c r="A38" s="984">
        <v>29</v>
      </c>
      <c r="B38" s="683" t="s">
        <v>354</v>
      </c>
      <c r="C38" s="134" t="s">
        <v>395</v>
      </c>
      <c r="D38" s="1069">
        <v>5819.0492300000005</v>
      </c>
      <c r="E38" s="1072">
        <f>D38</f>
        <v>5819.0492300000005</v>
      </c>
      <c r="F38" s="985">
        <f t="shared" si="0"/>
        <v>29</v>
      </c>
      <c r="H38" s="1559"/>
      <c r="I38" s="1559"/>
      <c r="J38" s="1595"/>
    </row>
    <row r="39" spans="1:10">
      <c r="A39" s="984">
        <v>30</v>
      </c>
      <c r="B39" s="683" t="s">
        <v>355</v>
      </c>
      <c r="C39" s="134" t="s">
        <v>396</v>
      </c>
      <c r="D39" s="1069">
        <v>618.07093000000009</v>
      </c>
      <c r="E39" s="1072"/>
      <c r="F39" s="985">
        <f t="shared" si="0"/>
        <v>30</v>
      </c>
      <c r="H39" s="1559"/>
      <c r="I39" s="1559"/>
      <c r="J39" s="1595"/>
    </row>
    <row r="40" spans="1:10">
      <c r="A40" s="984">
        <v>31</v>
      </c>
      <c r="B40" s="683" t="s">
        <v>356</v>
      </c>
      <c r="C40" s="134" t="s">
        <v>397</v>
      </c>
      <c r="D40" s="1069">
        <v>58.13044</v>
      </c>
      <c r="E40" s="1072"/>
      <c r="F40" s="985">
        <f t="shared" si="0"/>
        <v>31</v>
      </c>
      <c r="H40" s="1559"/>
      <c r="I40" s="1559"/>
      <c r="J40" s="1595"/>
    </row>
    <row r="41" spans="1:10">
      <c r="A41" s="984">
        <v>32</v>
      </c>
      <c r="B41" s="683" t="s">
        <v>357</v>
      </c>
      <c r="C41" s="134" t="s">
        <v>398</v>
      </c>
      <c r="D41" s="1069">
        <v>367.68761999999998</v>
      </c>
      <c r="E41" s="1072">
        <f t="shared" ref="E41:E53" si="1">D41</f>
        <v>367.68761999999998</v>
      </c>
      <c r="F41" s="985">
        <f t="shared" si="0"/>
        <v>32</v>
      </c>
      <c r="H41" s="1559"/>
      <c r="I41" s="1559"/>
      <c r="J41" s="1595"/>
    </row>
    <row r="42" spans="1:10">
      <c r="A42" s="984">
        <v>33</v>
      </c>
      <c r="B42" s="683" t="s">
        <v>358</v>
      </c>
      <c r="C42" s="134" t="s">
        <v>399</v>
      </c>
      <c r="D42" s="1069">
        <v>212.63977</v>
      </c>
      <c r="E42" s="1072">
        <f t="shared" si="1"/>
        <v>212.63977</v>
      </c>
      <c r="F42" s="985">
        <f t="shared" si="0"/>
        <v>33</v>
      </c>
      <c r="H42" s="1559"/>
      <c r="I42" s="1559"/>
      <c r="J42" s="1595"/>
    </row>
    <row r="43" spans="1:10">
      <c r="A43" s="984">
        <v>34</v>
      </c>
      <c r="B43" s="683" t="s">
        <v>359</v>
      </c>
      <c r="C43" s="134" t="s">
        <v>400</v>
      </c>
      <c r="D43" s="1069">
        <v>37.810310000000001</v>
      </c>
      <c r="E43" s="1072">
        <f t="shared" si="1"/>
        <v>37.810310000000001</v>
      </c>
      <c r="F43" s="985">
        <f t="shared" si="0"/>
        <v>34</v>
      </c>
      <c r="H43" s="1559"/>
      <c r="I43" s="1559"/>
      <c r="J43" s="1595"/>
    </row>
    <row r="44" spans="1:10">
      <c r="A44" s="984">
        <v>35</v>
      </c>
      <c r="B44" s="683" t="s">
        <v>360</v>
      </c>
      <c r="C44" s="134" t="s">
        <v>401</v>
      </c>
      <c r="D44" s="1069">
        <v>761.03343999999993</v>
      </c>
      <c r="E44" s="1072">
        <f t="shared" si="1"/>
        <v>761.03343999999993</v>
      </c>
      <c r="F44" s="985">
        <f t="shared" si="0"/>
        <v>35</v>
      </c>
      <c r="H44" s="1559"/>
      <c r="I44" s="1559"/>
      <c r="J44" s="1595"/>
    </row>
    <row r="45" spans="1:10">
      <c r="A45" s="984">
        <v>36</v>
      </c>
      <c r="B45" s="683" t="s">
        <v>361</v>
      </c>
      <c r="C45" s="134" t="s">
        <v>402</v>
      </c>
      <c r="D45" s="1069">
        <v>740.16320999999994</v>
      </c>
      <c r="E45" s="1072">
        <f t="shared" si="1"/>
        <v>740.16320999999994</v>
      </c>
      <c r="F45" s="985">
        <f t="shared" si="0"/>
        <v>36</v>
      </c>
      <c r="H45" s="1559"/>
      <c r="I45" s="1559"/>
      <c r="J45" s="1595"/>
    </row>
    <row r="46" spans="1:10">
      <c r="A46" s="984">
        <v>37</v>
      </c>
      <c r="B46" s="683" t="s">
        <v>362</v>
      </c>
      <c r="C46" s="134" t="s">
        <v>403</v>
      </c>
      <c r="D46" s="1069">
        <v>8.3424399999999999</v>
      </c>
      <c r="E46" s="1072">
        <f t="shared" si="1"/>
        <v>8.3424399999999999</v>
      </c>
      <c r="F46" s="985">
        <f t="shared" si="0"/>
        <v>37</v>
      </c>
      <c r="H46" s="1559"/>
      <c r="I46" s="1559"/>
      <c r="J46" s="1595"/>
    </row>
    <row r="47" spans="1:10">
      <c r="A47" s="984">
        <v>38</v>
      </c>
      <c r="B47" s="683" t="s">
        <v>363</v>
      </c>
      <c r="C47" s="134" t="s">
        <v>404</v>
      </c>
      <c r="D47" s="1069">
        <v>72.135369999999995</v>
      </c>
      <c r="E47" s="1072">
        <f t="shared" si="1"/>
        <v>72.135369999999995</v>
      </c>
      <c r="F47" s="985">
        <f t="shared" si="0"/>
        <v>38</v>
      </c>
      <c r="H47" s="1559"/>
      <c r="I47" s="1559"/>
      <c r="J47" s="1595"/>
    </row>
    <row r="48" spans="1:10">
      <c r="A48" s="984">
        <v>39</v>
      </c>
      <c r="B48" s="683" t="s">
        <v>364</v>
      </c>
      <c r="C48" s="134" t="s">
        <v>405</v>
      </c>
      <c r="D48" s="1069">
        <v>307.57069000000001</v>
      </c>
      <c r="E48" s="1072">
        <f t="shared" si="1"/>
        <v>307.57069000000001</v>
      </c>
      <c r="F48" s="985">
        <f t="shared" si="0"/>
        <v>39</v>
      </c>
      <c r="H48" s="1559"/>
      <c r="I48" s="1559"/>
      <c r="J48" s="1595"/>
    </row>
    <row r="49" spans="1:10">
      <c r="A49" s="984">
        <v>40</v>
      </c>
      <c r="B49" s="683" t="s">
        <v>365</v>
      </c>
      <c r="C49" s="134" t="s">
        <v>406</v>
      </c>
      <c r="D49" s="1069">
        <v>95.44328999999999</v>
      </c>
      <c r="E49" s="1072">
        <f t="shared" si="1"/>
        <v>95.44328999999999</v>
      </c>
      <c r="F49" s="985">
        <f t="shared" si="0"/>
        <v>40</v>
      </c>
      <c r="H49" s="1559"/>
      <c r="I49" s="1559"/>
      <c r="J49" s="1595"/>
    </row>
    <row r="50" spans="1:10">
      <c r="A50" s="984">
        <v>41</v>
      </c>
      <c r="B50" s="684" t="s">
        <v>366</v>
      </c>
      <c r="C50" s="134" t="s">
        <v>407</v>
      </c>
      <c r="D50" s="1069">
        <v>0</v>
      </c>
      <c r="E50" s="1072">
        <f t="shared" si="1"/>
        <v>0</v>
      </c>
      <c r="F50" s="985">
        <f t="shared" si="0"/>
        <v>41</v>
      </c>
      <c r="H50" s="1560"/>
      <c r="I50" s="1560"/>
      <c r="J50" s="1595"/>
    </row>
    <row r="51" spans="1:10">
      <c r="A51" s="984">
        <v>42</v>
      </c>
      <c r="B51" s="684" t="s">
        <v>1001</v>
      </c>
      <c r="C51" s="134" t="s">
        <v>1002</v>
      </c>
      <c r="D51" s="1069">
        <v>0</v>
      </c>
      <c r="E51" s="1072">
        <f t="shared" si="1"/>
        <v>0</v>
      </c>
      <c r="F51" s="985">
        <f t="shared" si="0"/>
        <v>42</v>
      </c>
      <c r="H51" s="1560"/>
      <c r="I51" s="1560"/>
      <c r="J51" s="1595"/>
    </row>
    <row r="52" spans="1:10">
      <c r="A52" s="984">
        <v>43</v>
      </c>
      <c r="B52" s="683" t="s">
        <v>367</v>
      </c>
      <c r="C52" s="134" t="s">
        <v>408</v>
      </c>
      <c r="D52" s="1069">
        <v>24.546740000000003</v>
      </c>
      <c r="E52" s="1072">
        <f t="shared" si="1"/>
        <v>24.546740000000003</v>
      </c>
      <c r="F52" s="985">
        <f t="shared" si="0"/>
        <v>43</v>
      </c>
      <c r="H52" s="1559"/>
      <c r="I52" s="1559"/>
      <c r="J52" s="1595"/>
    </row>
    <row r="53" spans="1:10">
      <c r="A53" s="984">
        <v>44</v>
      </c>
      <c r="B53" s="683" t="s">
        <v>368</v>
      </c>
      <c r="C53" s="134" t="s">
        <v>409</v>
      </c>
      <c r="D53" s="1069">
        <v>353.33521000000002</v>
      </c>
      <c r="E53" s="1072">
        <f t="shared" si="1"/>
        <v>353.33521000000002</v>
      </c>
      <c r="F53" s="985">
        <f t="shared" si="0"/>
        <v>44</v>
      </c>
      <c r="H53" s="1559"/>
      <c r="I53" s="1559"/>
      <c r="J53" s="1595"/>
    </row>
    <row r="54" spans="1:10">
      <c r="A54" s="984">
        <v>45</v>
      </c>
      <c r="B54" s="941" t="s">
        <v>369</v>
      </c>
      <c r="C54" s="942" t="s">
        <v>410</v>
      </c>
      <c r="D54" s="1073">
        <v>0</v>
      </c>
      <c r="E54" s="1074"/>
      <c r="F54" s="985">
        <f t="shared" si="0"/>
        <v>45</v>
      </c>
      <c r="H54" s="1559"/>
      <c r="I54" s="1559"/>
      <c r="J54" s="1595"/>
    </row>
    <row r="55" spans="1:10">
      <c r="A55" s="984">
        <v>46</v>
      </c>
      <c r="B55" s="685"/>
      <c r="C55" s="687"/>
      <c r="D55" s="1075"/>
      <c r="E55" s="1076"/>
      <c r="F55" s="985">
        <f t="shared" si="0"/>
        <v>46</v>
      </c>
    </row>
    <row r="56" spans="1:10" ht="16.5" thickBot="1">
      <c r="A56" s="984">
        <v>47</v>
      </c>
      <c r="B56" s="685" t="s">
        <v>658</v>
      </c>
      <c r="C56" s="135"/>
      <c r="D56" s="1077">
        <f>SUM(D10:D54)</f>
        <v>24310.093700000009</v>
      </c>
      <c r="E56" s="1078">
        <f>SUM(E10:E54)</f>
        <v>11435.232120000001</v>
      </c>
      <c r="F56" s="985">
        <f t="shared" si="0"/>
        <v>47</v>
      </c>
    </row>
    <row r="57" spans="1:10" ht="16.5" thickTop="1">
      <c r="A57" s="984">
        <v>48</v>
      </c>
      <c r="B57" s="685"/>
      <c r="C57" s="687"/>
      <c r="D57" s="1075"/>
      <c r="E57" s="1076"/>
      <c r="F57" s="985">
        <f t="shared" si="0"/>
        <v>48</v>
      </c>
    </row>
    <row r="58" spans="1:10" ht="16.5" thickBot="1">
      <c r="A58" s="984">
        <v>49</v>
      </c>
      <c r="B58" s="685" t="s">
        <v>659</v>
      </c>
      <c r="C58" s="135"/>
      <c r="D58" s="1079"/>
      <c r="E58" s="1080">
        <f>D56-E56</f>
        <v>12874.861580000008</v>
      </c>
      <c r="F58" s="985">
        <f t="shared" si="0"/>
        <v>49</v>
      </c>
    </row>
    <row r="59" spans="1:10" ht="17.25" thickTop="1" thickBot="1">
      <c r="A59" s="984">
        <v>50</v>
      </c>
      <c r="B59" s="686"/>
      <c r="C59" s="688"/>
      <c r="D59" s="1081"/>
      <c r="E59" s="1082"/>
      <c r="F59" s="985">
        <f t="shared" si="0"/>
        <v>50</v>
      </c>
    </row>
    <row r="60" spans="1:10">
      <c r="A60" s="984"/>
      <c r="B60" s="131"/>
      <c r="C60" s="130"/>
      <c r="D60" s="132"/>
      <c r="E60" s="133"/>
      <c r="F60" s="984"/>
    </row>
    <row r="61" spans="1:10">
      <c r="A61" s="1294"/>
      <c r="B61" s="1295"/>
      <c r="C61" s="1296"/>
      <c r="D61" s="132"/>
      <c r="E61" s="133"/>
      <c r="F61" s="984"/>
    </row>
    <row r="62" spans="1:10" ht="18.75">
      <c r="A62" s="1297">
        <v>1</v>
      </c>
      <c r="B62" s="1298" t="s">
        <v>642</v>
      </c>
      <c r="C62" s="1296"/>
      <c r="D62" s="130"/>
      <c r="E62" s="131"/>
      <c r="F62" s="984"/>
    </row>
    <row r="63" spans="1:10" ht="18.75">
      <c r="A63" s="1297">
        <v>2</v>
      </c>
      <c r="B63" s="1298" t="s">
        <v>692</v>
      </c>
      <c r="C63" s="1296"/>
      <c r="D63" s="130"/>
      <c r="E63" s="131"/>
      <c r="F63" s="984"/>
    </row>
    <row r="64" spans="1:10" ht="18.75">
      <c r="A64" s="1299"/>
      <c r="B64" s="4"/>
      <c r="C64" s="4"/>
    </row>
    <row r="65" spans="1:3">
      <c r="A65" s="445"/>
      <c r="B65" s="4"/>
      <c r="C65" s="4"/>
    </row>
    <row r="66" spans="1:3">
      <c r="A66" s="852"/>
    </row>
    <row r="67" spans="1:3">
      <c r="A67" s="852"/>
    </row>
    <row r="68" spans="1:3">
      <c r="A68" s="852"/>
    </row>
  </sheetData>
  <mergeCells count="5">
    <mergeCell ref="B4:E4"/>
    <mergeCell ref="B5:E5"/>
    <mergeCell ref="B2:E2"/>
    <mergeCell ref="B3:E3"/>
    <mergeCell ref="B6:E6"/>
  </mergeCells>
  <conditionalFormatting sqref="H10:I54">
    <cfRule type="duplicateValues" dxfId="0" priority="1"/>
  </conditionalFormatting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Roman,Regular"&amp;10&amp;A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H36"/>
  <sheetViews>
    <sheetView zoomScale="80" zoomScaleNormal="80" zoomScalePageLayoutView="80" workbookViewId="0">
      <selection activeCell="C7" sqref="C7"/>
    </sheetView>
  </sheetViews>
  <sheetFormatPr defaultColWidth="8.85546875" defaultRowHeight="15.75"/>
  <cols>
    <col min="1" max="1" width="5.140625" style="587" customWidth="1"/>
    <col min="2" max="2" width="69.140625" style="227" bestFit="1" customWidth="1"/>
    <col min="3" max="3" width="21.140625" style="598" customWidth="1"/>
    <col min="4" max="4" width="1.5703125" style="227" customWidth="1"/>
    <col min="5" max="5" width="16.85546875" style="227" customWidth="1"/>
    <col min="6" max="6" width="1.5703125" style="227" customWidth="1"/>
    <col min="7" max="7" width="34.5703125" style="227" customWidth="1"/>
    <col min="8" max="8" width="5.140625" style="919" customWidth="1"/>
    <col min="9" max="9" width="20.42578125" style="227" bestFit="1" customWidth="1"/>
    <col min="10" max="16384" width="8.85546875" style="227"/>
  </cols>
  <sheetData>
    <row r="1" spans="1:8">
      <c r="B1" s="24"/>
      <c r="C1" s="599"/>
      <c r="D1" s="655"/>
      <c r="E1" s="606"/>
      <c r="F1" s="656"/>
      <c r="G1" s="187"/>
    </row>
    <row r="2" spans="1:8">
      <c r="B2" s="1641" t="s">
        <v>17</v>
      </c>
      <c r="C2" s="1641"/>
      <c r="D2" s="1641"/>
      <c r="E2" s="1641"/>
      <c r="F2" s="1641"/>
      <c r="G2" s="1641"/>
    </row>
    <row r="3" spans="1:8">
      <c r="B3" s="1641" t="s">
        <v>1029</v>
      </c>
      <c r="C3" s="1641"/>
      <c r="D3" s="1641"/>
      <c r="E3" s="1641"/>
      <c r="F3" s="1641"/>
      <c r="G3" s="1641"/>
    </row>
    <row r="4" spans="1:8">
      <c r="B4" s="1641" t="s">
        <v>495</v>
      </c>
      <c r="C4" s="1641"/>
      <c r="D4" s="1641"/>
      <c r="E4" s="1641"/>
      <c r="F4" s="1641"/>
      <c r="G4" s="1641"/>
    </row>
    <row r="5" spans="1:8">
      <c r="B5" s="1644" t="str">
        <f>'A. Sec.1 - Direct Maintenance'!B5</f>
        <v>Base Period &amp; True-Up Period 12 - Months Ending December 31, 2019</v>
      </c>
      <c r="C5" s="1644"/>
      <c r="D5" s="1644"/>
      <c r="E5" s="1644"/>
      <c r="F5" s="1644"/>
      <c r="G5" s="1644"/>
    </row>
    <row r="6" spans="1:8" ht="15.75" customHeight="1">
      <c r="B6" s="1667">
        <v>-1000</v>
      </c>
      <c r="C6" s="1667"/>
      <c r="D6" s="1667"/>
      <c r="E6" s="1667"/>
      <c r="F6" s="1667"/>
      <c r="G6" s="1667"/>
    </row>
    <row r="7" spans="1:8">
      <c r="B7" s="580"/>
      <c r="C7" s="599"/>
      <c r="D7" s="580"/>
      <c r="E7" s="580"/>
      <c r="F7" s="600"/>
      <c r="G7" s="187"/>
    </row>
    <row r="8" spans="1:8">
      <c r="A8" s="919" t="s">
        <v>3</v>
      </c>
      <c r="B8" s="600"/>
      <c r="C8" s="583" t="s">
        <v>472</v>
      </c>
      <c r="D8" s="600"/>
      <c r="E8" s="657"/>
      <c r="F8" s="600"/>
      <c r="G8" s="266"/>
      <c r="H8" s="919" t="s">
        <v>3</v>
      </c>
    </row>
    <row r="9" spans="1:8">
      <c r="A9" s="266" t="s">
        <v>24</v>
      </c>
      <c r="B9" s="600"/>
      <c r="C9" s="585" t="s">
        <v>473</v>
      </c>
      <c r="D9" s="600"/>
      <c r="E9" s="601" t="s">
        <v>123</v>
      </c>
      <c r="F9" s="600"/>
      <c r="G9" s="378" t="s">
        <v>8</v>
      </c>
      <c r="H9" s="266" t="s">
        <v>24</v>
      </c>
    </row>
    <row r="10" spans="1:8">
      <c r="A10" s="266"/>
      <c r="B10" s="600"/>
      <c r="C10" s="641"/>
      <c r="D10" s="600"/>
      <c r="E10" s="266"/>
      <c r="F10" s="600"/>
      <c r="G10" s="266"/>
      <c r="H10" s="266"/>
    </row>
    <row r="11" spans="1:8">
      <c r="A11" s="583">
        <v>1</v>
      </c>
      <c r="B11" s="106" t="s">
        <v>928</v>
      </c>
      <c r="C11" s="292"/>
      <c r="D11" s="580"/>
      <c r="E11" s="1532">
        <v>0</v>
      </c>
      <c r="F11" s="580"/>
      <c r="G11" s="611" t="s">
        <v>125</v>
      </c>
      <c r="H11" s="583">
        <f>A11</f>
        <v>1</v>
      </c>
    </row>
    <row r="12" spans="1:8">
      <c r="A12" s="583">
        <v>2</v>
      </c>
      <c r="B12" s="106"/>
      <c r="E12" s="658"/>
      <c r="F12" s="603"/>
      <c r="G12" s="605"/>
      <c r="H12" s="583">
        <f>H11+1</f>
        <v>2</v>
      </c>
    </row>
    <row r="13" spans="1:8">
      <c r="A13" s="583">
        <v>3</v>
      </c>
      <c r="B13" s="106" t="s">
        <v>929</v>
      </c>
      <c r="C13" s="292" t="s">
        <v>939</v>
      </c>
      <c r="E13" s="1533">
        <v>0</v>
      </c>
      <c r="F13" s="603"/>
      <c r="G13" s="611" t="s">
        <v>125</v>
      </c>
      <c r="H13" s="583">
        <f t="shared" ref="H13:H33" si="0">H12+1</f>
        <v>3</v>
      </c>
    </row>
    <row r="14" spans="1:8">
      <c r="A14" s="583">
        <v>4</v>
      </c>
      <c r="C14" s="1519"/>
      <c r="E14" s="658"/>
      <c r="F14" s="603"/>
      <c r="G14" s="605"/>
      <c r="H14" s="583">
        <f t="shared" si="0"/>
        <v>4</v>
      </c>
    </row>
    <row r="15" spans="1:8">
      <c r="A15" s="919">
        <v>5</v>
      </c>
      <c r="B15" s="106" t="s">
        <v>930</v>
      </c>
      <c r="C15" s="1519" t="s">
        <v>577</v>
      </c>
      <c r="D15" s="1340"/>
      <c r="E15" s="1524">
        <f>'AJ-1'!C15</f>
        <v>22969.518210000002</v>
      </c>
      <c r="F15" s="607"/>
      <c r="G15" s="611" t="str">
        <f>"AJ-1; Line "&amp;'AJ-1'!A15</f>
        <v>AJ-1; Line 1</v>
      </c>
      <c r="H15" s="583">
        <f t="shared" si="0"/>
        <v>5</v>
      </c>
    </row>
    <row r="16" spans="1:8">
      <c r="A16" s="919">
        <v>6</v>
      </c>
      <c r="B16" s="346"/>
      <c r="E16" s="616"/>
      <c r="F16" s="607"/>
      <c r="G16" s="605"/>
      <c r="H16" s="583">
        <f t="shared" si="0"/>
        <v>6</v>
      </c>
    </row>
    <row r="17" spans="1:8">
      <c r="A17" s="919">
        <v>7</v>
      </c>
      <c r="B17" s="1340" t="s">
        <v>265</v>
      </c>
      <c r="C17" s="1519" t="s">
        <v>576</v>
      </c>
      <c r="D17" s="1340"/>
      <c r="E17" s="661">
        <f>'AJ-2'!D15</f>
        <v>92538.571238399993</v>
      </c>
      <c r="F17" s="1431"/>
      <c r="G17" s="611" t="str">
        <f>"AJ-2; Line "&amp;'AJ-2'!A15</f>
        <v>AJ-2; Line 3</v>
      </c>
      <c r="H17" s="583">
        <f t="shared" si="0"/>
        <v>7</v>
      </c>
    </row>
    <row r="18" spans="1:8">
      <c r="A18" s="587">
        <v>8</v>
      </c>
      <c r="B18" s="1371"/>
      <c r="E18" s="1525"/>
      <c r="H18" s="583">
        <f t="shared" si="0"/>
        <v>8</v>
      </c>
    </row>
    <row r="19" spans="1:8">
      <c r="A19" s="587">
        <v>9</v>
      </c>
      <c r="B19" s="1340" t="s">
        <v>11</v>
      </c>
      <c r="C19" s="1519"/>
      <c r="D19" s="1340"/>
      <c r="E19" s="1526">
        <f>'Stmt AI'!E27</f>
        <v>0.10143191236945187</v>
      </c>
      <c r="F19" s="1340"/>
      <c r="G19" s="774" t="str">
        <f>"Statement AI; Line "&amp;'Stmt AI'!A27</f>
        <v>Statement AI; Line 17</v>
      </c>
      <c r="H19" s="583">
        <f t="shared" si="0"/>
        <v>9</v>
      </c>
    </row>
    <row r="20" spans="1:8">
      <c r="A20" s="587">
        <v>10</v>
      </c>
      <c r="E20" s="1527"/>
      <c r="H20" s="583">
        <f t="shared" si="0"/>
        <v>10</v>
      </c>
    </row>
    <row r="21" spans="1:8">
      <c r="A21" s="587">
        <v>11</v>
      </c>
      <c r="B21" s="227" t="s">
        <v>931</v>
      </c>
      <c r="E21" s="1528">
        <f>E13*$E$19</f>
        <v>0</v>
      </c>
      <c r="G21" s="736" t="str">
        <f>"Line "&amp;A13&amp;" x Line "&amp;A19</f>
        <v>Line 3 x Line 9</v>
      </c>
      <c r="H21" s="583">
        <f t="shared" si="0"/>
        <v>11</v>
      </c>
    </row>
    <row r="22" spans="1:8">
      <c r="A22" s="587">
        <v>12</v>
      </c>
      <c r="E22" s="1529"/>
      <c r="G22" s="725"/>
      <c r="H22" s="583">
        <f t="shared" si="0"/>
        <v>12</v>
      </c>
    </row>
    <row r="23" spans="1:8">
      <c r="A23" s="587">
        <v>13</v>
      </c>
      <c r="B23" s="227" t="s">
        <v>932</v>
      </c>
      <c r="E23" s="624">
        <f>E15*$E$19</f>
        <v>2329.8421582452493</v>
      </c>
      <c r="G23" s="736" t="str">
        <f>"Line "&amp;A15&amp;" x Line "&amp;A19</f>
        <v>Line 5 x Line 9</v>
      </c>
      <c r="H23" s="583">
        <f t="shared" si="0"/>
        <v>13</v>
      </c>
    </row>
    <row r="24" spans="1:8">
      <c r="A24" s="587">
        <v>14</v>
      </c>
      <c r="B24" s="227" t="s">
        <v>9</v>
      </c>
      <c r="E24" s="662"/>
      <c r="G24" s="725"/>
      <c r="H24" s="583">
        <f t="shared" si="0"/>
        <v>14</v>
      </c>
    </row>
    <row r="25" spans="1:8">
      <c r="A25" s="587">
        <v>15</v>
      </c>
      <c r="B25" s="227" t="s">
        <v>933</v>
      </c>
      <c r="E25" s="1530">
        <f>E17*$E$19</f>
        <v>9386.3642486476674</v>
      </c>
      <c r="G25" s="736" t="str">
        <f>"Line "&amp;A17&amp;" x Line "&amp;A19</f>
        <v>Line 7 x Line 9</v>
      </c>
      <c r="H25" s="583">
        <f t="shared" si="0"/>
        <v>15</v>
      </c>
    </row>
    <row r="26" spans="1:8">
      <c r="A26" s="587">
        <v>16</v>
      </c>
      <c r="E26" s="662"/>
      <c r="H26" s="583">
        <f t="shared" si="0"/>
        <v>16</v>
      </c>
    </row>
    <row r="27" spans="1:8" ht="16.5" thickBot="1">
      <c r="A27" s="587">
        <v>17</v>
      </c>
      <c r="B27" s="227" t="s">
        <v>934</v>
      </c>
      <c r="E27" s="1531">
        <f>E11+E21+E23+E25</f>
        <v>11716.206406892918</v>
      </c>
      <c r="G27" s="605" t="str">
        <f>"Line "&amp;A11&amp;" + (Sum Lines "&amp;A21&amp;" thru "&amp;A25&amp;")"</f>
        <v>Line 1 + (Sum Lines 11 thru 15)</v>
      </c>
      <c r="H27" s="583">
        <f t="shared" si="0"/>
        <v>17</v>
      </c>
    </row>
    <row r="28" spans="1:8" ht="16.5" thickTop="1">
      <c r="A28" s="587">
        <v>18</v>
      </c>
      <c r="E28" s="602"/>
      <c r="H28" s="583">
        <f t="shared" si="0"/>
        <v>18</v>
      </c>
    </row>
    <row r="29" spans="1:8" ht="16.5" thickBot="1">
      <c r="A29" s="587">
        <v>19</v>
      </c>
      <c r="B29" s="227" t="s">
        <v>935</v>
      </c>
      <c r="E29" s="1522">
        <v>0</v>
      </c>
      <c r="G29" s="1519" t="s">
        <v>125</v>
      </c>
      <c r="H29" s="583">
        <f t="shared" si="0"/>
        <v>19</v>
      </c>
    </row>
    <row r="30" spans="1:8" ht="16.5" thickTop="1">
      <c r="A30" s="587">
        <v>20</v>
      </c>
      <c r="E30" s="1518"/>
      <c r="H30" s="583">
        <f t="shared" si="0"/>
        <v>20</v>
      </c>
    </row>
    <row r="31" spans="1:8" ht="19.5" thickBot="1">
      <c r="A31" s="587">
        <v>21</v>
      </c>
      <c r="B31" s="227" t="s">
        <v>938</v>
      </c>
      <c r="E31" s="1484">
        <v>0</v>
      </c>
      <c r="G31" s="1545" t="str">
        <f>"Not Applicable to "&amp;Automation!B3&amp;" Base Period"</f>
        <v>Not Applicable to 2019 Base Period</v>
      </c>
      <c r="H31" s="583">
        <f t="shared" si="0"/>
        <v>21</v>
      </c>
    </row>
    <row r="32" spans="1:8" ht="16.5" thickTop="1">
      <c r="A32" s="587">
        <v>22</v>
      </c>
      <c r="E32" s="616"/>
      <c r="H32" s="583">
        <f t="shared" si="0"/>
        <v>22</v>
      </c>
    </row>
    <row r="33" spans="1:8" ht="16.5" thickBot="1">
      <c r="A33" s="587">
        <v>23</v>
      </c>
      <c r="B33" s="227" t="s">
        <v>936</v>
      </c>
      <c r="E33" s="1522">
        <v>0</v>
      </c>
      <c r="G33" s="1519" t="s">
        <v>125</v>
      </c>
      <c r="H33" s="583">
        <f t="shared" si="0"/>
        <v>23</v>
      </c>
    </row>
    <row r="34" spans="1:8" ht="16.5" thickTop="1"/>
    <row r="36" spans="1:8">
      <c r="A36" s="587">
        <v>1</v>
      </c>
      <c r="B36" s="227" t="s">
        <v>937</v>
      </c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1" orientation="portrait" r:id="rId1"/>
  <headerFooter scaleWithDoc="0">
    <oddFooter>&amp;C&amp;"Times New Roman,Regular"&amp;10AJ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2:L37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69" customWidth="1"/>
    <col min="2" max="2" width="35.140625" style="170" customWidth="1"/>
    <col min="3" max="3" width="18.5703125" style="170" customWidth="1"/>
    <col min="4" max="4" width="62.5703125" style="170" customWidth="1"/>
    <col min="5" max="5" width="5.140625" style="915" customWidth="1"/>
    <col min="6" max="6" width="11" style="170" customWidth="1"/>
    <col min="7" max="7" width="7.140625" style="170" customWidth="1"/>
    <col min="8" max="8" width="9.140625" style="170" customWidth="1"/>
    <col min="9" max="9" width="14" style="170" customWidth="1"/>
    <col min="10" max="10" width="13.42578125" style="170" customWidth="1"/>
    <col min="11" max="16384" width="9.140625" style="170"/>
  </cols>
  <sheetData>
    <row r="2" spans="1:5">
      <c r="B2" s="1642" t="s">
        <v>17</v>
      </c>
      <c r="C2" s="1642"/>
      <c r="D2" s="1642"/>
    </row>
    <row r="3" spans="1:5">
      <c r="B3" s="1642" t="s">
        <v>203</v>
      </c>
      <c r="C3" s="1642"/>
      <c r="D3" s="1642"/>
    </row>
    <row r="4" spans="1:5">
      <c r="B4" s="1642" t="s">
        <v>205</v>
      </c>
      <c r="C4" s="1642"/>
      <c r="D4" s="1642"/>
    </row>
    <row r="5" spans="1:5">
      <c r="B5" s="1642" t="str">
        <f>"BASE PERIOD / TRUE UP PERIOD - 12/31/"&amp;Automation!$B$3&amp;" PER BOOK"</f>
        <v>BASE PERIOD / TRUE UP PERIOD - 12/31/2019 PER BOOK</v>
      </c>
      <c r="C5" s="1642"/>
      <c r="D5" s="1642"/>
    </row>
    <row r="6" spans="1:5">
      <c r="B6" s="1647" t="s">
        <v>2</v>
      </c>
      <c r="C6" s="1647"/>
      <c r="D6" s="1647"/>
    </row>
    <row r="7" spans="1:5">
      <c r="B7" s="172"/>
      <c r="C7" s="172"/>
      <c r="D7" s="172"/>
    </row>
    <row r="8" spans="1:5">
      <c r="B8" s="1642" t="s">
        <v>93</v>
      </c>
      <c r="C8" s="1642"/>
      <c r="D8" s="1642"/>
    </row>
    <row r="10" spans="1:5">
      <c r="B10" s="179"/>
      <c r="C10" s="403" t="s">
        <v>137</v>
      </c>
      <c r="D10" s="371"/>
      <c r="E10" s="919"/>
    </row>
    <row r="11" spans="1:5">
      <c r="A11" s="187"/>
      <c r="B11" s="182"/>
      <c r="C11" s="182" t="s">
        <v>207</v>
      </c>
      <c r="D11" s="298"/>
      <c r="E11" s="919"/>
    </row>
    <row r="12" spans="1:5">
      <c r="A12" s="187" t="s">
        <v>3</v>
      </c>
      <c r="B12" s="182"/>
      <c r="C12" s="182" t="s">
        <v>56</v>
      </c>
      <c r="D12" s="298"/>
      <c r="E12" s="919" t="s">
        <v>3</v>
      </c>
    </row>
    <row r="13" spans="1:5">
      <c r="A13" s="187" t="s">
        <v>24</v>
      </c>
      <c r="B13" s="191" t="s">
        <v>22</v>
      </c>
      <c r="C13" s="191" t="s">
        <v>204</v>
      </c>
      <c r="D13" s="191" t="s">
        <v>8</v>
      </c>
      <c r="E13" s="919" t="s">
        <v>24</v>
      </c>
    </row>
    <row r="14" spans="1:5">
      <c r="A14" s="187"/>
      <c r="B14" s="189"/>
      <c r="C14" s="355"/>
      <c r="D14" s="373"/>
      <c r="E14" s="919"/>
    </row>
    <row r="15" spans="1:5">
      <c r="A15" s="187">
        <v>1</v>
      </c>
      <c r="B15" s="553" t="str">
        <f>"Dec-"&amp;RIGHT(Automation!$B$3,2)</f>
        <v>Dec-19</v>
      </c>
      <c r="C15" s="358">
        <v>22969.518210000002</v>
      </c>
      <c r="D15" s="270" t="s">
        <v>468</v>
      </c>
      <c r="E15" s="919">
        <f>A15</f>
        <v>1</v>
      </c>
    </row>
    <row r="16" spans="1:5">
      <c r="A16" s="187">
        <f>A15+1</f>
        <v>2</v>
      </c>
      <c r="B16" s="216"/>
      <c r="C16" s="255"/>
      <c r="D16" s="255"/>
      <c r="E16" s="919">
        <f>E15+1</f>
        <v>2</v>
      </c>
    </row>
    <row r="17" spans="1:12">
      <c r="A17" s="187"/>
      <c r="B17" s="227"/>
      <c r="C17" s="370"/>
      <c r="D17" s="227"/>
      <c r="E17" s="919"/>
    </row>
    <row r="18" spans="1:12">
      <c r="B18" s="227"/>
      <c r="C18" s="227"/>
      <c r="D18" s="227"/>
    </row>
    <row r="19" spans="1:12">
      <c r="B19" s="227"/>
      <c r="C19" s="227"/>
      <c r="D19" s="227"/>
      <c r="L19" s="205"/>
    </row>
    <row r="20" spans="1:12">
      <c r="B20" s="227"/>
      <c r="C20" s="227"/>
      <c r="D20" s="227"/>
    </row>
    <row r="21" spans="1:12">
      <c r="B21" s="227"/>
      <c r="C21" s="227"/>
      <c r="D21" s="227"/>
    </row>
    <row r="22" spans="1:12">
      <c r="B22" s="227"/>
      <c r="C22" s="227"/>
      <c r="D22" s="227"/>
    </row>
    <row r="23" spans="1:12">
      <c r="B23" s="227"/>
      <c r="C23" s="227"/>
      <c r="D23" s="227"/>
    </row>
    <row r="24" spans="1:12">
      <c r="B24" s="227"/>
      <c r="C24" s="227"/>
      <c r="D24" s="227"/>
    </row>
    <row r="25" spans="1:12">
      <c r="B25" s="227"/>
      <c r="C25" s="227"/>
      <c r="D25" s="227"/>
    </row>
    <row r="26" spans="1:12">
      <c r="B26" s="227"/>
      <c r="C26" s="227"/>
      <c r="D26" s="227"/>
    </row>
    <row r="27" spans="1:12">
      <c r="B27" s="227"/>
      <c r="C27" s="227"/>
      <c r="D27" s="227"/>
    </row>
    <row r="28" spans="1:12">
      <c r="B28" s="227"/>
      <c r="C28" s="227"/>
      <c r="D28" s="227"/>
    </row>
    <row r="29" spans="1:12">
      <c r="B29" s="227"/>
      <c r="C29" s="227"/>
      <c r="D29" s="227"/>
    </row>
    <row r="30" spans="1:12">
      <c r="B30" s="227"/>
      <c r="C30" s="227"/>
      <c r="D30" s="227"/>
    </row>
    <row r="31" spans="1:12" s="227" customFormat="1">
      <c r="A31" s="187"/>
      <c r="E31" s="919"/>
    </row>
    <row r="32" spans="1:12" s="227" customFormat="1">
      <c r="A32" s="187"/>
      <c r="E32" s="919"/>
    </row>
    <row r="33" spans="1:5" s="227" customFormat="1">
      <c r="A33" s="187"/>
      <c r="E33" s="919"/>
    </row>
    <row r="34" spans="1:5" s="227" customFormat="1">
      <c r="A34" s="187"/>
      <c r="E34" s="919"/>
    </row>
    <row r="35" spans="1:5" s="227" customFormat="1">
      <c r="A35" s="187"/>
      <c r="E35" s="919"/>
    </row>
    <row r="36" spans="1:5" s="227" customFormat="1">
      <c r="A36" s="187"/>
      <c r="E36" s="919"/>
    </row>
    <row r="37" spans="1:5" s="227" customFormat="1">
      <c r="A37" s="187"/>
      <c r="E37" s="9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2:F20"/>
  <sheetViews>
    <sheetView zoomScale="80" zoomScaleNormal="80" workbookViewId="0">
      <selection activeCell="C7" sqref="C7"/>
    </sheetView>
  </sheetViews>
  <sheetFormatPr defaultColWidth="9.140625" defaultRowHeight="15.75"/>
  <cols>
    <col min="1" max="1" width="5.140625" style="171" customWidth="1"/>
    <col min="2" max="2" width="8.5703125" style="582" customWidth="1"/>
    <col min="3" max="3" width="41.140625" style="582" customWidth="1"/>
    <col min="4" max="4" width="18.5703125" style="582" customWidth="1"/>
    <col min="5" max="5" width="62.5703125" style="582" customWidth="1"/>
    <col min="6" max="6" width="5.140625" style="915" customWidth="1"/>
    <col min="7" max="7" width="24" style="582" customWidth="1"/>
    <col min="8" max="8" width="11" style="582" customWidth="1"/>
    <col min="9" max="9" width="7.140625" style="582" customWidth="1"/>
    <col min="10" max="10" width="9.140625" style="582" customWidth="1"/>
    <col min="11" max="11" width="14" style="582" customWidth="1"/>
    <col min="12" max="12" width="13.42578125" style="582" customWidth="1"/>
    <col min="13" max="16384" width="9.140625" style="582"/>
  </cols>
  <sheetData>
    <row r="2" spans="1:6">
      <c r="B2" s="1642" t="s">
        <v>17</v>
      </c>
      <c r="C2" s="1642"/>
      <c r="D2" s="1642"/>
      <c r="E2" s="1642"/>
    </row>
    <row r="3" spans="1:6">
      <c r="B3" s="1642" t="s">
        <v>203</v>
      </c>
      <c r="C3" s="1642"/>
      <c r="D3" s="1642"/>
      <c r="E3" s="1642"/>
    </row>
    <row r="4" spans="1:6">
      <c r="B4" s="1642" t="s">
        <v>205</v>
      </c>
      <c r="C4" s="1642"/>
      <c r="D4" s="1642"/>
      <c r="E4" s="1642"/>
    </row>
    <row r="5" spans="1:6">
      <c r="B5" s="1668" t="str">
        <f>"BASE PERIOD / TRUE UP PERIOD - 12/31/"&amp;Automation!$B$3&amp;" PER BOOK"</f>
        <v>BASE PERIOD / TRUE UP PERIOD - 12/31/2019 PER BOOK</v>
      </c>
      <c r="C5" s="1668"/>
      <c r="D5" s="1668"/>
      <c r="E5" s="1668"/>
      <c r="F5" s="921"/>
    </row>
    <row r="6" spans="1:6">
      <c r="B6" s="1669" t="s">
        <v>2</v>
      </c>
      <c r="C6" s="1669"/>
      <c r="D6" s="1669"/>
      <c r="E6" s="1669"/>
      <c r="F6" s="921"/>
    </row>
    <row r="7" spans="1:6">
      <c r="B7" s="894"/>
      <c r="C7" s="894"/>
      <c r="D7" s="894"/>
      <c r="E7" s="894"/>
      <c r="F7" s="921"/>
    </row>
    <row r="8" spans="1:6">
      <c r="B8" s="1668" t="s">
        <v>95</v>
      </c>
      <c r="C8" s="1668"/>
      <c r="D8" s="1668"/>
      <c r="E8" s="1668"/>
      <c r="F8" s="921"/>
    </row>
    <row r="9" spans="1:6">
      <c r="B9" s="893"/>
      <c r="C9" s="893"/>
      <c r="D9" s="893"/>
      <c r="E9" s="893"/>
      <c r="F9" s="921"/>
    </row>
    <row r="10" spans="1:6">
      <c r="A10" s="405" t="s">
        <v>3</v>
      </c>
      <c r="B10" s="864"/>
      <c r="C10" s="864"/>
      <c r="D10" s="865"/>
      <c r="E10" s="866"/>
      <c r="F10" s="919" t="s">
        <v>3</v>
      </c>
    </row>
    <row r="11" spans="1:6">
      <c r="A11" s="405" t="s">
        <v>24</v>
      </c>
      <c r="B11" s="867" t="s">
        <v>22</v>
      </c>
      <c r="C11" s="867" t="s">
        <v>71</v>
      </c>
      <c r="D11" s="867" t="s">
        <v>123</v>
      </c>
      <c r="E11" s="901" t="s">
        <v>8</v>
      </c>
      <c r="F11" s="919" t="s">
        <v>24</v>
      </c>
    </row>
    <row r="12" spans="1:6">
      <c r="A12" s="405"/>
      <c r="B12" s="868"/>
      <c r="C12" s="868"/>
      <c r="D12" s="868"/>
      <c r="E12" s="873"/>
      <c r="F12" s="986"/>
    </row>
    <row r="13" spans="1:6">
      <c r="A13" s="405">
        <v>1</v>
      </c>
      <c r="B13" s="871" t="str">
        <f>"Dec-"&amp;RIGHT(Automation!$B$3,2)</f>
        <v>Dec-19</v>
      </c>
      <c r="C13" s="871" t="s">
        <v>554</v>
      </c>
      <c r="D13" s="895">
        <v>128134.272</v>
      </c>
      <c r="E13" s="873" t="str">
        <f>Automation!B3&amp;" Form 1; Page 356.2; Accts 303 to 398"</f>
        <v>2019 Form 1; Page 356.2; Accts 303 to 398</v>
      </c>
      <c r="F13" s="919">
        <f>A13</f>
        <v>1</v>
      </c>
    </row>
    <row r="14" spans="1:6">
      <c r="A14" s="405">
        <f>A13+1</f>
        <v>2</v>
      </c>
      <c r="B14" s="871"/>
      <c r="C14" s="871" t="s">
        <v>555</v>
      </c>
      <c r="D14" s="875">
        <v>0.72219999999999995</v>
      </c>
      <c r="E14" s="909" t="str">
        <f>Automation!B3&amp;" Form 1; Page 356.1; Electric"</f>
        <v>2019 Form 1; Page 356.1; Electric</v>
      </c>
      <c r="F14" s="919">
        <f>F13+1</f>
        <v>2</v>
      </c>
    </row>
    <row r="15" spans="1:6">
      <c r="A15" s="405">
        <f t="shared" ref="A15:A16" si="0">A14+1</f>
        <v>3</v>
      </c>
      <c r="B15" s="871"/>
      <c r="C15" s="871" t="s">
        <v>267</v>
      </c>
      <c r="D15" s="896">
        <f>D13*D14</f>
        <v>92538.571238399993</v>
      </c>
      <c r="E15" s="270" t="str">
        <f>"(Line "&amp;A13&amp;" x Line "&amp;A14&amp;"); Form 1; Page 336; Line 11; Col. f"</f>
        <v>(Line 1 x Line 2); Form 1; Page 336; Line 11; Col. f</v>
      </c>
      <c r="F15" s="919">
        <f t="shared" ref="F15:F16" si="1">F14+1</f>
        <v>3</v>
      </c>
    </row>
    <row r="16" spans="1:6">
      <c r="A16" s="405">
        <f t="shared" si="0"/>
        <v>4</v>
      </c>
      <c r="B16" s="876"/>
      <c r="C16" s="867"/>
      <c r="D16" s="876"/>
      <c r="E16" s="878"/>
      <c r="F16" s="919">
        <f t="shared" si="1"/>
        <v>4</v>
      </c>
    </row>
    <row r="17" spans="1:6">
      <c r="A17" s="405"/>
      <c r="B17" s="347"/>
      <c r="C17" s="347"/>
      <c r="D17" s="278"/>
      <c r="E17" s="347"/>
      <c r="F17" s="919"/>
    </row>
    <row r="18" spans="1:6">
      <c r="B18" s="347"/>
      <c r="C18" s="347"/>
      <c r="D18" s="347"/>
      <c r="E18" s="347"/>
      <c r="F18" s="919"/>
    </row>
    <row r="19" spans="1:6">
      <c r="B19" s="347"/>
      <c r="C19" s="347"/>
      <c r="D19" s="347"/>
      <c r="E19" s="347"/>
    </row>
    <row r="20" spans="1:6">
      <c r="B20" s="347"/>
      <c r="C20" s="347"/>
      <c r="D20" s="347"/>
      <c r="E20" s="347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K53"/>
  <sheetViews>
    <sheetView zoomScale="80" zoomScaleNormal="80" zoomScalePageLayoutView="80" workbookViewId="0">
      <selection activeCell="C7" sqref="C7"/>
    </sheetView>
  </sheetViews>
  <sheetFormatPr defaultColWidth="8.85546875" defaultRowHeight="15.75"/>
  <cols>
    <col min="1" max="1" width="5.140625" style="1187" bestFit="1" customWidth="1"/>
    <col min="2" max="2" width="62.140625" style="1186" customWidth="1"/>
    <col min="3" max="3" width="24" style="1186" customWidth="1"/>
    <col min="4" max="4" width="1.5703125" style="1186" customWidth="1"/>
    <col min="5" max="5" width="16.85546875" style="1186" customWidth="1"/>
    <col min="6" max="6" width="1.5703125" style="1186" customWidth="1"/>
    <col min="7" max="7" width="34.5703125" style="1186" customWidth="1"/>
    <col min="8" max="8" width="5.140625" style="1186" bestFit="1" customWidth="1"/>
    <col min="9" max="9" width="8.85546875" style="1186"/>
    <col min="10" max="10" width="19.140625" style="1186" customWidth="1"/>
    <col min="11" max="11" width="17.85546875" style="1186" customWidth="1"/>
    <col min="12" max="12" width="17.5703125" style="1186" customWidth="1"/>
    <col min="13" max="16384" width="8.85546875" style="1186"/>
  </cols>
  <sheetData>
    <row r="1" spans="1:11">
      <c r="A1" s="580" t="s">
        <v>9</v>
      </c>
      <c r="G1" s="1187"/>
      <c r="H1" s="580"/>
    </row>
    <row r="2" spans="1:11">
      <c r="B2" s="1641" t="s">
        <v>17</v>
      </c>
      <c r="C2" s="1641"/>
      <c r="D2" s="1641"/>
      <c r="E2" s="1641"/>
      <c r="F2" s="1641"/>
      <c r="G2" s="1642"/>
      <c r="H2" s="1187"/>
    </row>
    <row r="3" spans="1:11">
      <c r="B3" s="1641" t="s">
        <v>1030</v>
      </c>
      <c r="C3" s="1641"/>
      <c r="D3" s="1641"/>
      <c r="E3" s="1641"/>
      <c r="F3" s="1641"/>
      <c r="G3" s="1642"/>
      <c r="H3" s="1187"/>
    </row>
    <row r="4" spans="1:11">
      <c r="B4" s="1641" t="s">
        <v>208</v>
      </c>
      <c r="C4" s="1641"/>
      <c r="D4" s="1641"/>
      <c r="E4" s="1641"/>
      <c r="F4" s="1641"/>
      <c r="G4" s="1642"/>
      <c r="H4" s="1187"/>
    </row>
    <row r="5" spans="1:11">
      <c r="B5" s="1644" t="str">
        <f>'A. Sec.1 - Direct Maintenance'!B5</f>
        <v>Base Period &amp; True-Up Period 12 - Months Ending December 31, 2019</v>
      </c>
      <c r="C5" s="1644"/>
      <c r="D5" s="1644"/>
      <c r="E5" s="1644"/>
      <c r="F5" s="1644"/>
      <c r="G5" s="1644"/>
      <c r="H5" s="1187"/>
    </row>
    <row r="6" spans="1:11">
      <c r="B6" s="1646" t="s">
        <v>2</v>
      </c>
      <c r="C6" s="1643"/>
      <c r="D6" s="1643"/>
      <c r="E6" s="1643"/>
      <c r="F6" s="1643"/>
      <c r="G6" s="1643"/>
      <c r="H6" s="1187"/>
    </row>
    <row r="7" spans="1:11">
      <c r="B7" s="580"/>
      <c r="C7" s="580"/>
      <c r="D7" s="580"/>
      <c r="E7" s="580"/>
      <c r="F7" s="580"/>
      <c r="G7" s="1187"/>
      <c r="H7" s="1187"/>
    </row>
    <row r="8" spans="1:11">
      <c r="A8" s="1187" t="s">
        <v>3</v>
      </c>
      <c r="B8" s="1183"/>
      <c r="C8" s="583" t="s">
        <v>472</v>
      </c>
      <c r="D8" s="1183"/>
      <c r="E8" s="1183"/>
      <c r="F8" s="1183"/>
      <c r="G8" s="1187"/>
      <c r="H8" s="1187" t="s">
        <v>3</v>
      </c>
    </row>
    <row r="9" spans="1:11">
      <c r="A9" s="266" t="s">
        <v>24</v>
      </c>
      <c r="B9" s="1183"/>
      <c r="C9" s="585" t="s">
        <v>473</v>
      </c>
      <c r="D9" s="1183"/>
      <c r="E9" s="601" t="s">
        <v>123</v>
      </c>
      <c r="F9" s="1183"/>
      <c r="G9" s="378" t="s">
        <v>8</v>
      </c>
      <c r="H9" s="266" t="s">
        <v>24</v>
      </c>
    </row>
    <row r="10" spans="1:11">
      <c r="B10" s="580"/>
      <c r="C10" s="580"/>
      <c r="D10" s="580"/>
      <c r="E10" s="580"/>
      <c r="F10" s="1183"/>
      <c r="G10" s="1187"/>
      <c r="H10" s="1187"/>
    </row>
    <row r="11" spans="1:11" ht="18.75">
      <c r="A11" s="580">
        <v>1</v>
      </c>
      <c r="B11" s="1186" t="s">
        <v>490</v>
      </c>
      <c r="C11" s="820" t="s">
        <v>491</v>
      </c>
      <c r="E11" s="604">
        <v>124526.61491999999</v>
      </c>
      <c r="F11" s="1183"/>
      <c r="G11" s="605"/>
      <c r="H11" s="580">
        <f>A11</f>
        <v>1</v>
      </c>
      <c r="K11" s="288"/>
    </row>
    <row r="12" spans="1:11" ht="15.95" customHeight="1">
      <c r="A12" s="580">
        <f>+A11+1</f>
        <v>2</v>
      </c>
      <c r="E12" s="634"/>
      <c r="F12" s="1183"/>
      <c r="G12" s="635"/>
      <c r="H12" s="580">
        <f>+H11+1</f>
        <v>2</v>
      </c>
    </row>
    <row r="13" spans="1:11" ht="18.75">
      <c r="A13" s="580">
        <f t="shared" ref="A13:A38" si="0">+A12+1</f>
        <v>3</v>
      </c>
      <c r="B13" s="1186" t="s">
        <v>643</v>
      </c>
      <c r="C13" s="820"/>
      <c r="E13" s="590">
        <v>0</v>
      </c>
      <c r="F13" s="1183"/>
      <c r="G13" s="611" t="str">
        <f>"Not Applicable to "&amp;Automation!B3&amp;" Base Period"</f>
        <v>Not Applicable to 2019 Base Period</v>
      </c>
      <c r="H13" s="580">
        <f t="shared" ref="H13:H38" si="1">+H12+1</f>
        <v>3</v>
      </c>
    </row>
    <row r="14" spans="1:11">
      <c r="A14" s="580">
        <f t="shared" si="0"/>
        <v>4</v>
      </c>
      <c r="E14" s="636"/>
      <c r="F14" s="1183"/>
      <c r="H14" s="580">
        <f t="shared" si="1"/>
        <v>4</v>
      </c>
    </row>
    <row r="15" spans="1:11">
      <c r="A15" s="580">
        <f t="shared" si="0"/>
        <v>5</v>
      </c>
      <c r="B15" s="1340" t="s">
        <v>883</v>
      </c>
      <c r="E15" s="634">
        <f>E11+E13</f>
        <v>124526.61491999999</v>
      </c>
      <c r="F15" s="1183"/>
      <c r="G15" s="611" t="str">
        <f>"Line "&amp;A11&amp;" + Line "&amp;A13</f>
        <v>Line 1 + Line 3</v>
      </c>
      <c r="H15" s="580">
        <f t="shared" si="1"/>
        <v>5</v>
      </c>
    </row>
    <row r="16" spans="1:11">
      <c r="A16" s="580">
        <f t="shared" si="0"/>
        <v>6</v>
      </c>
      <c r="E16" s="634"/>
      <c r="F16" s="1183"/>
      <c r="G16" s="605"/>
      <c r="H16" s="580">
        <f t="shared" si="1"/>
        <v>6</v>
      </c>
    </row>
    <row r="17" spans="1:10">
      <c r="A17" s="580">
        <f t="shared" si="0"/>
        <v>7</v>
      </c>
      <c r="B17" s="648" t="s">
        <v>941</v>
      </c>
      <c r="C17" s="820" t="s">
        <v>492</v>
      </c>
      <c r="E17" s="654">
        <v>67.128</v>
      </c>
      <c r="F17" s="1183"/>
      <c r="G17" s="1356"/>
      <c r="H17" s="580">
        <f t="shared" si="1"/>
        <v>7</v>
      </c>
    </row>
    <row r="18" spans="1:10">
      <c r="A18" s="580">
        <f t="shared" si="0"/>
        <v>8</v>
      </c>
      <c r="B18" s="648"/>
      <c r="E18" s="649"/>
      <c r="F18" s="1183"/>
      <c r="G18" s="605"/>
      <c r="H18" s="580">
        <f t="shared" si="1"/>
        <v>8</v>
      </c>
    </row>
    <row r="19" spans="1:10">
      <c r="A19" s="580">
        <f t="shared" si="0"/>
        <v>9</v>
      </c>
      <c r="B19" s="106" t="s">
        <v>882</v>
      </c>
      <c r="E19" s="649">
        <f>E15+E17</f>
        <v>124593.74291999999</v>
      </c>
      <c r="F19" s="1183"/>
      <c r="G19" s="605" t="str">
        <f>"Line "&amp;A15&amp;" + Line "&amp;A17</f>
        <v>Line 5 + Line 7</v>
      </c>
      <c r="H19" s="580">
        <f t="shared" si="1"/>
        <v>9</v>
      </c>
    </row>
    <row r="20" spans="1:10">
      <c r="A20" s="580">
        <f t="shared" si="0"/>
        <v>10</v>
      </c>
      <c r="E20" s="634"/>
      <c r="F20" s="1183"/>
      <c r="H20" s="580">
        <f t="shared" si="1"/>
        <v>10</v>
      </c>
    </row>
    <row r="21" spans="1:10" ht="18.75">
      <c r="A21" s="580">
        <f t="shared" si="0"/>
        <v>11</v>
      </c>
      <c r="B21" s="1186" t="s">
        <v>1018</v>
      </c>
      <c r="C21" s="820"/>
      <c r="E21" s="590">
        <v>0</v>
      </c>
      <c r="F21" s="1183"/>
      <c r="G21" s="611" t="str">
        <f>"Not Applicable to "&amp;Automation!B3&amp;" Base Period"</f>
        <v>Not Applicable to 2019 Base Period</v>
      </c>
      <c r="H21" s="580">
        <f t="shared" si="1"/>
        <v>11</v>
      </c>
      <c r="J21" s="637"/>
    </row>
    <row r="22" spans="1:10">
      <c r="A22" s="580">
        <f t="shared" si="0"/>
        <v>12</v>
      </c>
      <c r="E22" s="638"/>
      <c r="F22" s="1183"/>
      <c r="G22" s="605"/>
      <c r="H22" s="580">
        <f t="shared" si="1"/>
        <v>12</v>
      </c>
    </row>
    <row r="23" spans="1:10" ht="16.5" thickBot="1">
      <c r="A23" s="580">
        <f t="shared" si="0"/>
        <v>13</v>
      </c>
      <c r="B23" s="1186" t="s">
        <v>589</v>
      </c>
      <c r="C23" s="587"/>
      <c r="D23" s="370"/>
      <c r="E23" s="650">
        <f>E19+E21</f>
        <v>124593.74291999999</v>
      </c>
      <c r="F23" s="1183"/>
      <c r="G23" s="605" t="str">
        <f>"Line "&amp;A19&amp;" + Line "&amp;A21</f>
        <v>Line 9 + Line 11</v>
      </c>
      <c r="H23" s="580">
        <f t="shared" si="1"/>
        <v>13</v>
      </c>
      <c r="J23" s="639"/>
    </row>
    <row r="24" spans="1:10" ht="16.5" thickTop="1">
      <c r="A24" s="580">
        <f t="shared" si="0"/>
        <v>14</v>
      </c>
      <c r="C24" s="370"/>
      <c r="D24" s="370"/>
      <c r="F24" s="1183"/>
      <c r="G24" s="1187"/>
      <c r="H24" s="580">
        <f t="shared" si="1"/>
        <v>14</v>
      </c>
    </row>
    <row r="25" spans="1:10">
      <c r="A25" s="580">
        <f t="shared" si="0"/>
        <v>15</v>
      </c>
      <c r="B25" s="23" t="s">
        <v>805</v>
      </c>
      <c r="C25" s="370"/>
      <c r="D25" s="370"/>
      <c r="E25" s="1446">
        <f>'Stmt AH'!E68</f>
        <v>0.39819796364444732</v>
      </c>
      <c r="F25" s="1183"/>
      <c r="G25" s="168" t="str">
        <f>"Statement AH; Line "&amp;'Stmt AH'!A68</f>
        <v>Statement AH; Line 58</v>
      </c>
      <c r="H25" s="580">
        <f t="shared" si="1"/>
        <v>15</v>
      </c>
    </row>
    <row r="26" spans="1:10" s="1340" customFormat="1">
      <c r="A26" s="580">
        <f t="shared" si="0"/>
        <v>16</v>
      </c>
      <c r="B26" s="1357"/>
      <c r="C26" s="370"/>
      <c r="D26" s="370"/>
      <c r="E26" s="734"/>
      <c r="F26" s="1337"/>
      <c r="G26" s="168"/>
      <c r="H26" s="580">
        <f t="shared" si="1"/>
        <v>16</v>
      </c>
    </row>
    <row r="27" spans="1:10" ht="16.5" thickBot="1">
      <c r="A27" s="580">
        <f t="shared" si="0"/>
        <v>17</v>
      </c>
      <c r="B27" s="106" t="s">
        <v>832</v>
      </c>
      <c r="C27" s="370"/>
      <c r="D27" s="370"/>
      <c r="E27" s="1447">
        <f>E23*E25</f>
        <v>49612.974713583768</v>
      </c>
      <c r="G27" s="104" t="str">
        <f>"Line "&amp;A23&amp;" x Line "&amp;A25</f>
        <v>Line 13 x Line 15</v>
      </c>
      <c r="H27" s="580">
        <f t="shared" si="1"/>
        <v>17</v>
      </c>
    </row>
    <row r="28" spans="1:10" ht="17.25" thickTop="1" thickBot="1">
      <c r="A28" s="580">
        <f t="shared" si="0"/>
        <v>18</v>
      </c>
      <c r="B28" s="651"/>
      <c r="C28" s="644"/>
      <c r="D28" s="644"/>
      <c r="E28" s="643"/>
      <c r="F28" s="652"/>
      <c r="G28" s="653"/>
      <c r="H28" s="580">
        <f t="shared" si="1"/>
        <v>18</v>
      </c>
    </row>
    <row r="29" spans="1:10">
      <c r="A29" s="580">
        <f t="shared" si="0"/>
        <v>19</v>
      </c>
      <c r="B29" s="267"/>
      <c r="C29" s="645"/>
      <c r="D29" s="645"/>
      <c r="E29" s="267"/>
      <c r="F29" s="267"/>
      <c r="G29" s="267"/>
      <c r="H29" s="580">
        <f t="shared" si="1"/>
        <v>19</v>
      </c>
    </row>
    <row r="30" spans="1:10" ht="18.75">
      <c r="A30" s="580">
        <f t="shared" si="0"/>
        <v>20</v>
      </c>
      <c r="B30" s="1186" t="s">
        <v>1019</v>
      </c>
      <c r="C30" s="820" t="s">
        <v>493</v>
      </c>
      <c r="E30" s="604">
        <v>13202.710260000003</v>
      </c>
      <c r="F30" s="1183"/>
      <c r="G30" s="5"/>
      <c r="H30" s="580">
        <f t="shared" si="1"/>
        <v>20</v>
      </c>
    </row>
    <row r="31" spans="1:10">
      <c r="A31" s="580">
        <f t="shared" si="0"/>
        <v>21</v>
      </c>
      <c r="E31" s="581"/>
      <c r="F31" s="1183"/>
      <c r="G31" s="5"/>
      <c r="H31" s="580">
        <f t="shared" si="1"/>
        <v>21</v>
      </c>
    </row>
    <row r="32" spans="1:10">
      <c r="A32" s="580">
        <f t="shared" si="0"/>
        <v>22</v>
      </c>
      <c r="B32" s="648" t="s">
        <v>940</v>
      </c>
      <c r="C32" s="820" t="s">
        <v>679</v>
      </c>
      <c r="E32" s="654">
        <v>2.4380000000000002</v>
      </c>
      <c r="F32" s="1183"/>
      <c r="G32" s="1356"/>
      <c r="H32" s="580">
        <f t="shared" si="1"/>
        <v>22</v>
      </c>
    </row>
    <row r="33" spans="1:10">
      <c r="A33" s="580">
        <f t="shared" si="0"/>
        <v>23</v>
      </c>
      <c r="B33" s="648"/>
      <c r="E33" s="91"/>
      <c r="F33" s="1183"/>
      <c r="G33" s="5"/>
      <c r="H33" s="580">
        <f t="shared" si="1"/>
        <v>23</v>
      </c>
    </row>
    <row r="34" spans="1:10">
      <c r="A34" s="580">
        <f t="shared" si="0"/>
        <v>24</v>
      </c>
      <c r="B34" s="648" t="s">
        <v>884</v>
      </c>
      <c r="E34" s="91">
        <f>E30+E32</f>
        <v>13205.148260000004</v>
      </c>
      <c r="F34" s="1183"/>
      <c r="G34" s="5" t="str">
        <f>"Line "&amp;A30&amp;" + Line "&amp;A32</f>
        <v>Line 20 + Line 22</v>
      </c>
      <c r="H34" s="580">
        <f t="shared" si="1"/>
        <v>24</v>
      </c>
    </row>
    <row r="35" spans="1:10">
      <c r="A35" s="580">
        <f t="shared" si="0"/>
        <v>25</v>
      </c>
      <c r="E35" s="581"/>
      <c r="F35" s="1183"/>
      <c r="G35" s="5"/>
      <c r="H35" s="580">
        <f t="shared" si="1"/>
        <v>25</v>
      </c>
    </row>
    <row r="36" spans="1:10">
      <c r="A36" s="580">
        <f t="shared" si="0"/>
        <v>26</v>
      </c>
      <c r="B36" s="1186" t="s">
        <v>11</v>
      </c>
      <c r="E36" s="640">
        <f>'Stmt AI'!E27</f>
        <v>0.10143191236945187</v>
      </c>
      <c r="F36" s="1183"/>
      <c r="G36" s="5" t="str">
        <f>"Statement AI; Line "&amp;'Stmt AI'!A27</f>
        <v>Statement AI; Line 17</v>
      </c>
      <c r="H36" s="580">
        <f t="shared" si="1"/>
        <v>26</v>
      </c>
    </row>
    <row r="37" spans="1:10">
      <c r="A37" s="580">
        <f t="shared" si="0"/>
        <v>27</v>
      </c>
      <c r="E37" s="646"/>
      <c r="F37" s="1183"/>
      <c r="G37" s="5"/>
      <c r="H37" s="580">
        <f t="shared" si="1"/>
        <v>27</v>
      </c>
    </row>
    <row r="38" spans="1:10" ht="16.5" thickBot="1">
      <c r="A38" s="580">
        <f t="shared" si="0"/>
        <v>28</v>
      </c>
      <c r="B38" s="1186" t="s">
        <v>494</v>
      </c>
      <c r="E38" s="642">
        <f>E34*E36</f>
        <v>1339.4234411339403</v>
      </c>
      <c r="F38" s="1183"/>
      <c r="G38" s="104" t="str">
        <f>"Line "&amp;A34&amp;" x Line "&amp;A36</f>
        <v>Line 24 x Line 26</v>
      </c>
      <c r="H38" s="580">
        <f t="shared" si="1"/>
        <v>28</v>
      </c>
    </row>
    <row r="39" spans="1:10" ht="16.5" thickTop="1">
      <c r="A39" s="580"/>
      <c r="E39" s="647"/>
      <c r="F39" s="1183"/>
      <c r="G39" s="1300"/>
      <c r="H39" s="580"/>
      <c r="J39" s="587"/>
    </row>
    <row r="40" spans="1:10">
      <c r="B40" s="1186" t="s">
        <v>9</v>
      </c>
      <c r="E40" s="581"/>
      <c r="F40" s="581"/>
      <c r="J40" s="645"/>
    </row>
    <row r="41" spans="1:10" ht="18.75">
      <c r="A41" s="226">
        <v>1</v>
      </c>
      <c r="B41" s="337" t="s">
        <v>582</v>
      </c>
    </row>
    <row r="42" spans="1:10" ht="18.75">
      <c r="A42" s="226">
        <v>2</v>
      </c>
      <c r="B42" s="337" t="s">
        <v>680</v>
      </c>
    </row>
    <row r="43" spans="1:10" s="1617" customFormat="1" ht="18.75">
      <c r="A43" s="226">
        <v>3</v>
      </c>
      <c r="B43" s="1617" t="s">
        <v>1020</v>
      </c>
    </row>
    <row r="44" spans="1:10" ht="18.75">
      <c r="A44" s="226">
        <v>4</v>
      </c>
      <c r="B44" s="337" t="s">
        <v>583</v>
      </c>
    </row>
    <row r="46" spans="1:10" ht="18.75">
      <c r="B46" s="226"/>
      <c r="C46" s="108"/>
    </row>
    <row r="47" spans="1:10" ht="18.75">
      <c r="B47" s="226"/>
      <c r="C47" s="108"/>
    </row>
    <row r="48" spans="1:10" ht="18.75">
      <c r="B48" s="226"/>
      <c r="C48" s="108"/>
    </row>
    <row r="49" spans="2:3" ht="18.75">
      <c r="B49" s="226"/>
      <c r="C49" s="108"/>
    </row>
    <row r="50" spans="2:3">
      <c r="B50" s="4"/>
    </row>
    <row r="53" spans="2:3">
      <c r="B53" s="337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3" orientation="portrait" r:id="rId1"/>
  <headerFooter scaleWithDoc="0">
    <oddFooter>&amp;C&amp;"Times New Roman,Regular"&amp;10AK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K34"/>
  <sheetViews>
    <sheetView zoomScale="80" zoomScaleNormal="80" zoomScalePageLayoutView="80" workbookViewId="0">
      <selection activeCell="C7" sqref="C7"/>
    </sheetView>
  </sheetViews>
  <sheetFormatPr defaultColWidth="8.85546875" defaultRowHeight="15.75"/>
  <cols>
    <col min="1" max="1" width="5.140625" style="187" bestFit="1" customWidth="1"/>
    <col min="2" max="2" width="68.85546875" style="227" customWidth="1"/>
    <col min="3" max="3" width="24" style="598" customWidth="1"/>
    <col min="4" max="4" width="1.5703125" style="227" customWidth="1"/>
    <col min="5" max="5" width="16.85546875" style="227" customWidth="1"/>
    <col min="6" max="6" width="1.5703125" style="227" customWidth="1"/>
    <col min="7" max="7" width="16.85546875" style="227" customWidth="1"/>
    <col min="8" max="8" width="1.5703125" style="227" customWidth="1"/>
    <col min="9" max="9" width="36.140625" style="227" customWidth="1"/>
    <col min="10" max="10" width="5.140625" style="227" customWidth="1"/>
    <col min="11" max="16384" width="8.85546875" style="227"/>
  </cols>
  <sheetData>
    <row r="1" spans="1:10">
      <c r="A1" s="580"/>
      <c r="H1" s="187"/>
      <c r="I1" s="187"/>
      <c r="J1" s="187"/>
    </row>
    <row r="2" spans="1:10">
      <c r="B2" s="1641" t="s">
        <v>17</v>
      </c>
      <c r="C2" s="1670"/>
      <c r="D2" s="1670"/>
      <c r="E2" s="1670"/>
      <c r="F2" s="1670"/>
      <c r="G2" s="1670"/>
      <c r="H2" s="1670"/>
      <c r="I2" s="1670"/>
      <c r="J2" s="169"/>
    </row>
    <row r="3" spans="1:10">
      <c r="B3" s="1641" t="s">
        <v>1031</v>
      </c>
      <c r="C3" s="1670"/>
      <c r="D3" s="1670"/>
      <c r="E3" s="1670"/>
      <c r="F3" s="1670"/>
      <c r="G3" s="1670"/>
      <c r="H3" s="1670"/>
      <c r="I3" s="1670"/>
      <c r="J3" s="169"/>
    </row>
    <row r="4" spans="1:10">
      <c r="B4" s="1641" t="s">
        <v>209</v>
      </c>
      <c r="C4" s="1670"/>
      <c r="D4" s="1670"/>
      <c r="E4" s="1670"/>
      <c r="F4" s="1670"/>
      <c r="G4" s="1670"/>
      <c r="H4" s="1670"/>
      <c r="I4" s="1670"/>
      <c r="J4" s="169"/>
    </row>
    <row r="5" spans="1:10">
      <c r="B5" s="1644" t="str">
        <f>'A. Sec.1 - Direct Maintenance'!B5</f>
        <v>Base Period &amp; True-Up Period 12 - Months Ending December 31, 2019</v>
      </c>
      <c r="C5" s="1644"/>
      <c r="D5" s="1644"/>
      <c r="E5" s="1644"/>
      <c r="F5" s="1644"/>
      <c r="G5" s="1644"/>
      <c r="H5" s="1644"/>
      <c r="I5" s="1644"/>
      <c r="J5" s="169"/>
    </row>
    <row r="6" spans="1:10">
      <c r="B6" s="1646" t="s">
        <v>2</v>
      </c>
      <c r="C6" s="1646"/>
      <c r="D6" s="1646"/>
      <c r="E6" s="1646"/>
      <c r="F6" s="1646"/>
      <c r="G6" s="1646"/>
      <c r="H6" s="1646"/>
      <c r="I6" s="1646"/>
      <c r="J6" s="170"/>
    </row>
    <row r="7" spans="1:10">
      <c r="B7" s="580"/>
      <c r="C7" s="599"/>
      <c r="D7" s="580"/>
      <c r="E7" s="580"/>
      <c r="F7" s="580"/>
      <c r="G7" s="580"/>
      <c r="H7" s="600"/>
      <c r="I7" s="600"/>
      <c r="J7" s="600"/>
    </row>
    <row r="8" spans="1:10">
      <c r="A8" s="187" t="s">
        <v>3</v>
      </c>
      <c r="B8" s="600"/>
      <c r="C8" s="583" t="s">
        <v>472</v>
      </c>
      <c r="D8" s="580"/>
      <c r="E8" s="580" t="s">
        <v>475</v>
      </c>
      <c r="F8" s="580"/>
      <c r="G8" s="580" t="s">
        <v>476</v>
      </c>
      <c r="H8" s="600"/>
      <c r="I8" s="183"/>
      <c r="J8" s="187" t="s">
        <v>3</v>
      </c>
    </row>
    <row r="9" spans="1:10">
      <c r="A9" s="266" t="s">
        <v>24</v>
      </c>
      <c r="B9" s="600"/>
      <c r="C9" s="585" t="s">
        <v>473</v>
      </c>
      <c r="D9" s="600"/>
      <c r="E9" s="601" t="s">
        <v>477</v>
      </c>
      <c r="F9" s="600"/>
      <c r="G9" s="601" t="s">
        <v>7</v>
      </c>
      <c r="H9" s="600"/>
      <c r="I9" s="378" t="s">
        <v>8</v>
      </c>
      <c r="J9" s="266" t="s">
        <v>24</v>
      </c>
    </row>
    <row r="10" spans="1:10">
      <c r="B10" s="580"/>
      <c r="C10" s="599"/>
      <c r="D10" s="580"/>
      <c r="E10" s="580"/>
      <c r="F10" s="580"/>
      <c r="G10" s="580"/>
      <c r="H10" s="580"/>
      <c r="I10" s="187"/>
      <c r="J10" s="187"/>
    </row>
    <row r="11" spans="1:10" ht="18.75">
      <c r="A11" s="580">
        <v>1</v>
      </c>
      <c r="B11" s="227" t="s">
        <v>478</v>
      </c>
      <c r="C11" s="292" t="s">
        <v>479</v>
      </c>
      <c r="D11" s="267"/>
      <c r="E11" s="602"/>
      <c r="F11" s="603"/>
      <c r="G11" s="604">
        <f>'AL-1'!C32</f>
        <v>128028.38738461537</v>
      </c>
      <c r="H11" s="603"/>
      <c r="I11" s="605" t="str">
        <f>"AL-1; Line "&amp;'AL-1'!A32</f>
        <v>AL-1; Line 18</v>
      </c>
      <c r="J11" s="580">
        <f>A11</f>
        <v>1</v>
      </c>
    </row>
    <row r="12" spans="1:10">
      <c r="A12" s="580">
        <f>+A11+1</f>
        <v>2</v>
      </c>
      <c r="C12" s="187"/>
      <c r="D12" s="267"/>
      <c r="E12" s="606"/>
      <c r="F12" s="607"/>
      <c r="G12" s="607"/>
      <c r="H12" s="607"/>
      <c r="I12" s="605"/>
      <c r="J12" s="580">
        <f>+J11+1</f>
        <v>2</v>
      </c>
    </row>
    <row r="13" spans="1:10">
      <c r="A13" s="580">
        <f t="shared" ref="A13:A29" si="0">+A12+1</f>
        <v>3</v>
      </c>
      <c r="B13" s="227" t="s">
        <v>210</v>
      </c>
      <c r="C13" s="187"/>
      <c r="D13" s="267"/>
      <c r="E13" s="608"/>
      <c r="F13" s="609"/>
      <c r="G13" s="610">
        <f>'Stmt AD'!I45</f>
        <v>0.39491043746939913</v>
      </c>
      <c r="H13" s="603"/>
      <c r="I13" s="611" t="str">
        <f>"Statement AD; Line "&amp;'Stmt AD'!A45</f>
        <v>Statement AD; Line 35</v>
      </c>
      <c r="J13" s="580">
        <f t="shared" ref="J13:J29" si="1">+J12+1</f>
        <v>3</v>
      </c>
    </row>
    <row r="14" spans="1:10">
      <c r="A14" s="580">
        <f t="shared" si="0"/>
        <v>4</v>
      </c>
      <c r="C14" s="187"/>
      <c r="D14" s="267"/>
      <c r="E14" s="606"/>
      <c r="F14" s="607"/>
      <c r="G14" s="581"/>
      <c r="H14" s="607"/>
      <c r="I14" s="605"/>
      <c r="J14" s="580">
        <f t="shared" si="1"/>
        <v>4</v>
      </c>
    </row>
    <row r="15" spans="1:10" ht="16.5" thickBot="1">
      <c r="A15" s="580">
        <f t="shared" si="0"/>
        <v>5</v>
      </c>
      <c r="B15" s="227" t="s">
        <v>480</v>
      </c>
      <c r="C15" s="187"/>
      <c r="D15" s="267"/>
      <c r="E15" s="612"/>
      <c r="F15" s="607"/>
      <c r="G15" s="613">
        <f>G11*G13</f>
        <v>50559.74647056016</v>
      </c>
      <c r="H15" s="603"/>
      <c r="I15" s="605" t="str">
        <f>"Line "&amp;A11&amp;" x Line "&amp;A13</f>
        <v>Line 1 x Line 3</v>
      </c>
      <c r="J15" s="580">
        <f t="shared" si="1"/>
        <v>5</v>
      </c>
    </row>
    <row r="16" spans="1:10" ht="16.5" thickTop="1">
      <c r="A16" s="580">
        <f t="shared" si="0"/>
        <v>6</v>
      </c>
      <c r="C16" s="187"/>
      <c r="D16" s="267"/>
      <c r="E16" s="326"/>
      <c r="F16" s="187"/>
      <c r="G16" s="187"/>
      <c r="H16" s="187"/>
      <c r="I16" s="605"/>
      <c r="J16" s="580">
        <f t="shared" si="1"/>
        <v>6</v>
      </c>
    </row>
    <row r="17" spans="1:11" ht="18.75">
      <c r="A17" s="580">
        <f t="shared" si="0"/>
        <v>7</v>
      </c>
      <c r="B17" s="227" t="s">
        <v>481</v>
      </c>
      <c r="C17" s="292" t="s">
        <v>482</v>
      </c>
      <c r="D17" s="595"/>
      <c r="E17" s="602"/>
      <c r="F17" s="607"/>
      <c r="G17" s="614">
        <f>'AL-2'!C30</f>
        <v>64127.97638461538</v>
      </c>
      <c r="H17" s="603"/>
      <c r="I17" s="605" t="str">
        <f>"AL-2; Line "&amp;'AL-2'!A30</f>
        <v>AL-2; Line 18</v>
      </c>
      <c r="J17" s="580">
        <f t="shared" si="1"/>
        <v>7</v>
      </c>
    </row>
    <row r="18" spans="1:11">
      <c r="A18" s="580">
        <f t="shared" si="0"/>
        <v>8</v>
      </c>
      <c r="C18" s="187"/>
      <c r="D18" s="267"/>
      <c r="E18" s="615"/>
      <c r="F18" s="607"/>
      <c r="G18" s="607"/>
      <c r="H18" s="607"/>
      <c r="I18" s="605"/>
      <c r="J18" s="580">
        <f t="shared" si="1"/>
        <v>8</v>
      </c>
    </row>
    <row r="19" spans="1:11" ht="16.5" thickBot="1">
      <c r="A19" s="580">
        <f t="shared" si="0"/>
        <v>9</v>
      </c>
      <c r="B19" s="227" t="s">
        <v>483</v>
      </c>
      <c r="D19" s="267"/>
      <c r="E19" s="602"/>
      <c r="F19" s="607"/>
      <c r="G19" s="613">
        <f>G13*G17</f>
        <v>25324.807208075756</v>
      </c>
      <c r="H19" s="603"/>
      <c r="I19" s="605" t="str">
        <f>"Line "&amp;A13&amp;" x Line "&amp;A17</f>
        <v>Line 3 x Line 7</v>
      </c>
      <c r="J19" s="580">
        <f t="shared" si="1"/>
        <v>9</v>
      </c>
    </row>
    <row r="20" spans="1:11" ht="16.5" thickTop="1">
      <c r="A20" s="580">
        <f t="shared" si="0"/>
        <v>10</v>
      </c>
      <c r="E20" s="616"/>
      <c r="F20" s="607"/>
      <c r="G20" s="607"/>
      <c r="H20" s="607"/>
      <c r="I20" s="605"/>
      <c r="J20" s="580">
        <f t="shared" si="1"/>
        <v>10</v>
      </c>
    </row>
    <row r="21" spans="1:11">
      <c r="A21" s="580">
        <f t="shared" si="0"/>
        <v>11</v>
      </c>
      <c r="B21" s="617" t="s">
        <v>484</v>
      </c>
      <c r="E21" s="616"/>
      <c r="F21" s="607"/>
      <c r="G21" s="607"/>
      <c r="H21" s="607"/>
      <c r="I21" s="605"/>
      <c r="J21" s="580">
        <f t="shared" si="1"/>
        <v>11</v>
      </c>
    </row>
    <row r="22" spans="1:11" s="337" customFormat="1">
      <c r="A22" s="618">
        <f t="shared" si="0"/>
        <v>12</v>
      </c>
      <c r="B22" s="337" t="s">
        <v>485</v>
      </c>
      <c r="C22" s="619"/>
      <c r="E22" s="620">
        <f>'Stmt AH'!E27</f>
        <v>36144.87389000001</v>
      </c>
      <c r="F22" s="621"/>
      <c r="G22" s="622"/>
      <c r="H22" s="621"/>
      <c r="I22" s="611" t="str">
        <f>"Statement AH; Line "&amp;'Stmt AH'!A27</f>
        <v>Statement AH; Line 17</v>
      </c>
      <c r="J22" s="618">
        <f t="shared" si="1"/>
        <v>12</v>
      </c>
    </row>
    <row r="23" spans="1:11" s="337" customFormat="1">
      <c r="A23" s="618">
        <f t="shared" si="0"/>
        <v>13</v>
      </c>
      <c r="B23" s="337" t="s">
        <v>486</v>
      </c>
      <c r="C23" s="619"/>
      <c r="E23" s="623">
        <f>'Stmt AH'!E49</f>
        <v>38571.727836460894</v>
      </c>
      <c r="F23" s="170"/>
      <c r="G23" s="624"/>
      <c r="H23" s="621"/>
      <c r="I23" s="611" t="str">
        <f>"Statement AH; Line "&amp;'Stmt AH'!A49</f>
        <v>Statement AH; Line 39</v>
      </c>
      <c r="J23" s="618">
        <f t="shared" si="1"/>
        <v>13</v>
      </c>
    </row>
    <row r="24" spans="1:11" s="337" customFormat="1">
      <c r="A24" s="618">
        <f t="shared" si="0"/>
        <v>14</v>
      </c>
      <c r="B24" s="227" t="s">
        <v>487</v>
      </c>
      <c r="C24" s="619"/>
      <c r="E24" s="625">
        <f>-'Stmt AH'!E34</f>
        <v>0</v>
      </c>
      <c r="F24" s="626"/>
      <c r="G24" s="624"/>
      <c r="H24" s="626"/>
      <c r="I24" s="611" t="str">
        <f>"Negative of Statement AH; Line "&amp;'Stmt AH'!A34</f>
        <v>Negative of Statement AH; Line 24</v>
      </c>
      <c r="J24" s="618">
        <f t="shared" si="1"/>
        <v>14</v>
      </c>
      <c r="K24" s="1619"/>
    </row>
    <row r="25" spans="1:11">
      <c r="A25" s="580">
        <f t="shared" si="0"/>
        <v>15</v>
      </c>
      <c r="B25" s="227" t="s">
        <v>287</v>
      </c>
      <c r="E25" s="627">
        <f>SUM(E22:E24)</f>
        <v>74716.601726460911</v>
      </c>
      <c r="F25" s="170"/>
      <c r="G25" s="595"/>
      <c r="H25" s="605"/>
      <c r="I25" s="605" t="str">
        <f>"Sum Lines "&amp;A22&amp;" thru "&amp;A24</f>
        <v>Sum Lines 12 thru 14</v>
      </c>
      <c r="J25" s="580">
        <f t="shared" si="1"/>
        <v>15</v>
      </c>
    </row>
    <row r="26" spans="1:11">
      <c r="A26" s="580">
        <f t="shared" si="0"/>
        <v>16</v>
      </c>
      <c r="F26" s="187"/>
      <c r="G26" s="267"/>
      <c r="H26" s="187"/>
      <c r="I26" s="605"/>
      <c r="J26" s="580">
        <f t="shared" si="1"/>
        <v>16</v>
      </c>
    </row>
    <row r="27" spans="1:11">
      <c r="A27" s="580">
        <f t="shared" si="0"/>
        <v>17</v>
      </c>
      <c r="B27" s="227" t="s">
        <v>488</v>
      </c>
      <c r="E27" s="628">
        <f>1/8</f>
        <v>0.125</v>
      </c>
      <c r="F27" s="187"/>
      <c r="G27" s="629"/>
      <c r="H27" s="187"/>
      <c r="I27" s="605" t="s">
        <v>211</v>
      </c>
      <c r="J27" s="580">
        <f t="shared" si="1"/>
        <v>17</v>
      </c>
      <c r="K27" s="337"/>
    </row>
    <row r="28" spans="1:11">
      <c r="A28" s="580">
        <f t="shared" si="0"/>
        <v>18</v>
      </c>
      <c r="E28" s="581" t="s">
        <v>9</v>
      </c>
      <c r="F28" s="607"/>
      <c r="G28" s="606"/>
      <c r="H28" s="607"/>
      <c r="I28" s="605"/>
      <c r="J28" s="580">
        <f t="shared" si="1"/>
        <v>18</v>
      </c>
    </row>
    <row r="29" spans="1:11" ht="16.5" thickBot="1">
      <c r="A29" s="580">
        <f t="shared" si="0"/>
        <v>19</v>
      </c>
      <c r="B29" s="227" t="s">
        <v>489</v>
      </c>
      <c r="E29" s="613">
        <f>E25*E27</f>
        <v>9339.5752158076139</v>
      </c>
      <c r="F29" s="170"/>
      <c r="G29" s="612"/>
      <c r="H29" s="607"/>
      <c r="I29" s="187" t="str">
        <f>"Line "&amp;A25&amp;" x Line "&amp;A27</f>
        <v>Line 15 x Line 17</v>
      </c>
      <c r="J29" s="580">
        <f t="shared" si="1"/>
        <v>19</v>
      </c>
    </row>
    <row r="30" spans="1:11" ht="16.5" thickTop="1">
      <c r="B30" s="632"/>
      <c r="G30" s="267"/>
    </row>
    <row r="31" spans="1:11">
      <c r="G31" s="267"/>
    </row>
    <row r="32" spans="1:11" ht="18.75">
      <c r="A32" s="633">
        <v>1</v>
      </c>
      <c r="B32" s="227" t="s">
        <v>212</v>
      </c>
    </row>
    <row r="33" spans="1:2" ht="18.75">
      <c r="A33" s="633"/>
    </row>
    <row r="34" spans="1:2">
      <c r="A34" s="169"/>
      <c r="B34" s="170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3" orientation="portrait" r:id="rId1"/>
  <headerFooter scaleWithDoc="0">
    <oddFooter>&amp;C&amp;"Times New Roman,Regular"&amp;10AL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41"/>
  <sheetViews>
    <sheetView zoomScale="80" zoomScaleNormal="80" zoomScaleSheetLayoutView="70" zoomScalePageLayoutView="60" workbookViewId="0">
      <selection activeCell="C7" sqref="C7"/>
    </sheetView>
  </sheetViews>
  <sheetFormatPr defaultColWidth="9.140625" defaultRowHeight="15.75"/>
  <cols>
    <col min="1" max="1" width="5.140625" style="587" customWidth="1"/>
    <col min="2" max="2" width="12.5703125" style="397" customWidth="1"/>
    <col min="3" max="3" width="20" style="397" customWidth="1"/>
    <col min="4" max="5" width="21.5703125" style="397" customWidth="1"/>
    <col min="6" max="7" width="21.5703125" style="694" customWidth="1"/>
    <col min="8" max="8" width="22.85546875" style="397" bestFit="1" customWidth="1"/>
    <col min="9" max="13" width="21.5703125" style="397" customWidth="1"/>
    <col min="14" max="14" width="5.140625" style="587" customWidth="1"/>
    <col min="15" max="15" width="13.5703125" style="397" customWidth="1"/>
    <col min="16" max="16" width="12.5703125" style="397" customWidth="1"/>
    <col min="17" max="16384" width="9.140625" style="397"/>
  </cols>
  <sheetData>
    <row r="1" spans="1:14">
      <c r="I1" s="1189"/>
    </row>
    <row r="2" spans="1:14" s="1548" customFormat="1">
      <c r="A2" s="587"/>
      <c r="B2" s="1635" t="str">
        <f>'Summary of Cost Components'!B2:D2</f>
        <v>SAN DIEGO GAS &amp; ELECTRIC COMPANY</v>
      </c>
      <c r="C2" s="1635"/>
      <c r="D2" s="1635"/>
      <c r="E2" s="1635"/>
      <c r="F2" s="1635"/>
      <c r="G2" s="1635"/>
      <c r="H2" s="1635"/>
      <c r="I2" s="1635"/>
      <c r="J2" s="1635"/>
      <c r="K2" s="1635"/>
      <c r="L2" s="1635"/>
      <c r="M2" s="1635"/>
      <c r="N2" s="1635"/>
    </row>
    <row r="3" spans="1:14">
      <c r="B3" s="1622" t="str">
        <f>'Summary of Cost Components'!B3:D3</f>
        <v>CITIZENS' SHARE OF THE SX-PQ UNDERGROUND LINE SEGMENT</v>
      </c>
      <c r="C3" s="1622"/>
      <c r="D3" s="1622"/>
      <c r="E3" s="1622"/>
      <c r="F3" s="1622"/>
      <c r="G3" s="1622"/>
      <c r="H3" s="1622"/>
      <c r="I3" s="1622"/>
      <c r="J3" s="1622"/>
      <c r="K3" s="1622"/>
      <c r="L3" s="1622"/>
      <c r="M3" s="1622"/>
      <c r="N3" s="1622"/>
    </row>
    <row r="4" spans="1:14">
      <c r="B4" s="1622" t="s">
        <v>956</v>
      </c>
      <c r="C4" s="1622"/>
      <c r="D4" s="1622"/>
      <c r="E4" s="1622"/>
      <c r="F4" s="1622"/>
      <c r="G4" s="1622"/>
      <c r="H4" s="1622"/>
      <c r="I4" s="1622"/>
      <c r="J4" s="1622"/>
      <c r="K4" s="1622"/>
      <c r="L4" s="1622"/>
      <c r="M4" s="1622"/>
      <c r="N4" s="1622"/>
    </row>
    <row r="5" spans="1:14">
      <c r="B5" s="1634" t="str">
        <f>"True-Up Period - June 1, "&amp;Automation!$B$3&amp;" to December 31, "&amp;Automation!$B$3</f>
        <v>True-Up Period - June 1, 2019 to December 31, 2019</v>
      </c>
      <c r="C5" s="1634"/>
      <c r="D5" s="1634"/>
      <c r="E5" s="1634"/>
      <c r="F5" s="1634"/>
      <c r="G5" s="1634"/>
      <c r="H5" s="1634"/>
      <c r="I5" s="1634"/>
      <c r="J5" s="1634"/>
      <c r="K5" s="1634"/>
      <c r="L5" s="1634"/>
      <c r="M5" s="1634"/>
      <c r="N5" s="1634"/>
    </row>
    <row r="6" spans="1:14">
      <c r="B6" s="1633" t="s">
        <v>2</v>
      </c>
      <c r="C6" s="1633"/>
      <c r="D6" s="1633"/>
      <c r="E6" s="1633"/>
      <c r="F6" s="1633"/>
      <c r="G6" s="1633"/>
      <c r="H6" s="1633"/>
      <c r="I6" s="1633"/>
      <c r="J6" s="1633"/>
      <c r="K6" s="1633"/>
      <c r="L6" s="1633"/>
      <c r="M6" s="1633"/>
      <c r="N6" s="1182"/>
    </row>
    <row r="7" spans="1:14">
      <c r="A7" s="1182"/>
      <c r="B7" s="1182"/>
      <c r="C7" s="1182"/>
      <c r="D7" s="1182"/>
      <c r="E7" s="1182"/>
      <c r="F7" s="1182"/>
      <c r="G7" s="1182"/>
      <c r="H7" s="1182"/>
      <c r="I7" s="1182"/>
      <c r="J7" s="1182"/>
      <c r="K7" s="1182"/>
      <c r="L7" s="1182"/>
      <c r="M7" s="1182"/>
      <c r="N7" s="1182"/>
    </row>
    <row r="8" spans="1:14">
      <c r="A8" s="587" t="s">
        <v>3</v>
      </c>
      <c r="B8" s="1121"/>
      <c r="E8" s="1122"/>
      <c r="F8" s="1123"/>
      <c r="G8" s="1123"/>
      <c r="N8" s="587" t="s">
        <v>3</v>
      </c>
    </row>
    <row r="9" spans="1:14">
      <c r="A9" s="445" t="s">
        <v>24</v>
      </c>
      <c r="B9" s="1121"/>
      <c r="E9" s="1122"/>
      <c r="F9" s="1123"/>
      <c r="G9" s="1123"/>
      <c r="N9" s="445" t="s">
        <v>24</v>
      </c>
    </row>
    <row r="10" spans="1:14">
      <c r="A10" s="587">
        <v>1</v>
      </c>
      <c r="E10" s="1122"/>
      <c r="I10" s="1205"/>
      <c r="J10" s="1205"/>
      <c r="N10" s="587">
        <v>1</v>
      </c>
    </row>
    <row r="11" spans="1:14">
      <c r="A11" s="587">
        <f t="shared" ref="A11:A31" si="0">A10+1</f>
        <v>2</v>
      </c>
      <c r="C11" s="1126" t="s">
        <v>694</v>
      </c>
      <c r="D11" s="1126" t="s">
        <v>695</v>
      </c>
      <c r="E11" s="1126" t="s">
        <v>696</v>
      </c>
      <c r="F11" s="1127" t="s">
        <v>697</v>
      </c>
      <c r="G11" s="1127" t="s">
        <v>698</v>
      </c>
      <c r="H11" s="1127" t="s">
        <v>699</v>
      </c>
      <c r="I11" s="1126" t="s">
        <v>700</v>
      </c>
      <c r="J11" s="1126" t="s">
        <v>701</v>
      </c>
      <c r="K11" s="1126" t="s">
        <v>702</v>
      </c>
      <c r="L11" s="1126" t="s">
        <v>703</v>
      </c>
      <c r="M11" s="1126" t="s">
        <v>704</v>
      </c>
      <c r="N11" s="587">
        <f t="shared" ref="N11:N31" si="1">N10+1</f>
        <v>2</v>
      </c>
    </row>
    <row r="12" spans="1:14">
      <c r="A12" s="587">
        <f t="shared" si="0"/>
        <v>3</v>
      </c>
      <c r="B12" s="701" t="s">
        <v>705</v>
      </c>
      <c r="C12" s="587"/>
      <c r="D12" s="587"/>
      <c r="E12" s="587"/>
      <c r="F12" s="820" t="str">
        <f>"= "&amp;F11&amp;"; Line "&amp;A31&amp;" / 12"</f>
        <v>= Col. 4; Line 22 / 12</v>
      </c>
      <c r="G12" s="820"/>
      <c r="H12" s="819" t="str">
        <f>"= Sum "&amp;E11&amp;" thru "&amp;G11</f>
        <v>= Sum Col. 3 thru Col. 5</v>
      </c>
      <c r="I12" s="808" t="str">
        <f>"= "&amp;D11&amp;" - "&amp;H11</f>
        <v>= Col. 2 - Col. 6</v>
      </c>
      <c r="J12" s="587"/>
      <c r="K12" s="587" t="str">
        <f>"See Footnote "&amp;A40</f>
        <v>See Footnote 6</v>
      </c>
      <c r="L12" s="587" t="str">
        <f>"See Footnote "&amp;A41</f>
        <v>See Footnote 7</v>
      </c>
      <c r="M12" s="808" t="str">
        <f>"= "&amp;K11&amp;" + "&amp;L11</f>
        <v>= Col. 9 + Col. 10</v>
      </c>
      <c r="N12" s="587">
        <f t="shared" si="1"/>
        <v>3</v>
      </c>
    </row>
    <row r="13" spans="1:14">
      <c r="A13" s="587">
        <f t="shared" si="0"/>
        <v>4</v>
      </c>
      <c r="B13" s="701"/>
      <c r="C13" s="587"/>
      <c r="D13" s="587"/>
      <c r="E13" s="587"/>
      <c r="F13" s="820"/>
      <c r="G13" s="820"/>
      <c r="H13" s="819"/>
      <c r="I13" s="808"/>
      <c r="J13" s="587"/>
      <c r="K13" s="587"/>
      <c r="L13" s="587"/>
      <c r="M13" s="808"/>
      <c r="N13" s="587">
        <f t="shared" si="1"/>
        <v>4</v>
      </c>
    </row>
    <row r="14" spans="1:14">
      <c r="A14" s="587">
        <f t="shared" si="0"/>
        <v>5</v>
      </c>
      <c r="C14" s="1126"/>
      <c r="H14" s="1128"/>
      <c r="K14" s="1182" t="s">
        <v>706</v>
      </c>
      <c r="M14" s="1182" t="s">
        <v>706</v>
      </c>
      <c r="N14" s="587">
        <f t="shared" si="1"/>
        <v>5</v>
      </c>
    </row>
    <row r="15" spans="1:14">
      <c r="A15" s="587">
        <f t="shared" si="0"/>
        <v>6</v>
      </c>
      <c r="C15" s="1126"/>
      <c r="F15" s="1128"/>
      <c r="G15" s="1128"/>
      <c r="H15" s="1128"/>
      <c r="I15" s="1182" t="s">
        <v>707</v>
      </c>
      <c r="J15" s="1182"/>
      <c r="K15" s="1182" t="s">
        <v>708</v>
      </c>
      <c r="M15" s="1182" t="s">
        <v>708</v>
      </c>
      <c r="N15" s="587">
        <f t="shared" si="1"/>
        <v>6</v>
      </c>
    </row>
    <row r="16" spans="1:14">
      <c r="A16" s="587">
        <f t="shared" si="0"/>
        <v>7</v>
      </c>
      <c r="C16" s="1182"/>
      <c r="D16" s="1182" t="s">
        <v>707</v>
      </c>
      <c r="E16" s="1128" t="s">
        <v>707</v>
      </c>
      <c r="F16" s="1128" t="s">
        <v>709</v>
      </c>
      <c r="G16" s="1128"/>
      <c r="H16" s="1128" t="s">
        <v>710</v>
      </c>
      <c r="I16" s="1182" t="s">
        <v>708</v>
      </c>
      <c r="J16" s="1182" t="s">
        <v>707</v>
      </c>
      <c r="K16" s="1182" t="s">
        <v>711</v>
      </c>
      <c r="M16" s="1182" t="s">
        <v>711</v>
      </c>
      <c r="N16" s="587">
        <f t="shared" si="1"/>
        <v>7</v>
      </c>
    </row>
    <row r="17" spans="1:17">
      <c r="A17" s="587">
        <f t="shared" si="0"/>
        <v>8</v>
      </c>
      <c r="C17" s="1182"/>
      <c r="D17" s="1182" t="s">
        <v>712</v>
      </c>
      <c r="E17" s="1128" t="s">
        <v>712</v>
      </c>
      <c r="F17" s="1128" t="s">
        <v>712</v>
      </c>
      <c r="G17" s="1128" t="s">
        <v>713</v>
      </c>
      <c r="H17" s="1128" t="s">
        <v>712</v>
      </c>
      <c r="I17" s="1182" t="s">
        <v>711</v>
      </c>
      <c r="J17" s="1182" t="s">
        <v>714</v>
      </c>
      <c r="K17" s="1182" t="s">
        <v>715</v>
      </c>
      <c r="L17" s="1182"/>
      <c r="M17" s="1182" t="s">
        <v>715</v>
      </c>
      <c r="N17" s="587">
        <f t="shared" si="1"/>
        <v>8</v>
      </c>
    </row>
    <row r="18" spans="1:17" ht="18.75">
      <c r="A18" s="587">
        <f t="shared" si="0"/>
        <v>9</v>
      </c>
      <c r="B18" s="1129" t="s">
        <v>22</v>
      </c>
      <c r="C18" s="1129" t="s">
        <v>716</v>
      </c>
      <c r="D18" s="831" t="s">
        <v>773</v>
      </c>
      <c r="E18" s="1123" t="s">
        <v>717</v>
      </c>
      <c r="F18" s="1123" t="s">
        <v>718</v>
      </c>
      <c r="G18" s="1123" t="s">
        <v>774</v>
      </c>
      <c r="H18" s="1123" t="s">
        <v>719</v>
      </c>
      <c r="I18" s="831" t="s">
        <v>715</v>
      </c>
      <c r="J18" s="831" t="s">
        <v>720</v>
      </c>
      <c r="K18" s="831" t="s">
        <v>721</v>
      </c>
      <c r="L18" s="831" t="s">
        <v>714</v>
      </c>
      <c r="M18" s="831" t="s">
        <v>722</v>
      </c>
      <c r="N18" s="587">
        <f t="shared" si="1"/>
        <v>9</v>
      </c>
    </row>
    <row r="19" spans="1:17">
      <c r="A19" s="587">
        <f t="shared" si="0"/>
        <v>10</v>
      </c>
      <c r="B19" s="1131" t="s">
        <v>723</v>
      </c>
      <c r="C19" s="1132" t="str">
        <f>RIGHT(B5,4)</f>
        <v>2019</v>
      </c>
      <c r="D19" s="839">
        <v>0</v>
      </c>
      <c r="E19" s="780">
        <v>0</v>
      </c>
      <c r="F19" s="780">
        <v>0</v>
      </c>
      <c r="G19" s="780">
        <v>0</v>
      </c>
      <c r="H19" s="1133">
        <f>SUM(E19:G19)</f>
        <v>0</v>
      </c>
      <c r="I19" s="780">
        <f>D19-H19</f>
        <v>0</v>
      </c>
      <c r="J19" s="1206">
        <v>4.4000000000000003E-3</v>
      </c>
      <c r="K19" s="676">
        <f>I19</f>
        <v>0</v>
      </c>
      <c r="L19" s="1207">
        <f>(I19/2)*J19</f>
        <v>0</v>
      </c>
      <c r="M19" s="1207">
        <f t="shared" ref="M19:M30" si="2">K19+L19</f>
        <v>0</v>
      </c>
      <c r="N19" s="587">
        <f t="shared" si="1"/>
        <v>10</v>
      </c>
      <c r="O19" s="290"/>
    </row>
    <row r="20" spans="1:17">
      <c r="A20" s="587">
        <f t="shared" si="0"/>
        <v>11</v>
      </c>
      <c r="B20" s="1134" t="s">
        <v>724</v>
      </c>
      <c r="C20" s="1132" t="str">
        <f>C19</f>
        <v>2019</v>
      </c>
      <c r="D20" s="1208">
        <v>0</v>
      </c>
      <c r="E20" s="812">
        <v>0</v>
      </c>
      <c r="F20" s="812">
        <v>0</v>
      </c>
      <c r="G20" s="812">
        <v>0</v>
      </c>
      <c r="H20" s="1136">
        <f>SUM(E20:G20)</f>
        <v>0</v>
      </c>
      <c r="I20" s="812">
        <f t="shared" ref="I20:I30" si="3">D20-H20</f>
        <v>0</v>
      </c>
      <c r="J20" s="1206">
        <v>4.0000000000000001E-3</v>
      </c>
      <c r="K20" s="1209">
        <f>M19+I20</f>
        <v>0</v>
      </c>
      <c r="L20" s="1210">
        <f t="shared" ref="L20:L30" si="4">(M19+K20)/2*J20</f>
        <v>0</v>
      </c>
      <c r="M20" s="1210">
        <f t="shared" si="2"/>
        <v>0</v>
      </c>
      <c r="N20" s="587">
        <f t="shared" si="1"/>
        <v>11</v>
      </c>
      <c r="O20" s="829"/>
    </row>
    <row r="21" spans="1:17">
      <c r="A21" s="587">
        <f t="shared" si="0"/>
        <v>12</v>
      </c>
      <c r="B21" s="1134" t="s">
        <v>725</v>
      </c>
      <c r="C21" s="1132" t="str">
        <f>C19</f>
        <v>2019</v>
      </c>
      <c r="D21" s="1208">
        <v>0</v>
      </c>
      <c r="E21" s="812">
        <v>0</v>
      </c>
      <c r="F21" s="812">
        <v>0</v>
      </c>
      <c r="G21" s="812">
        <v>0</v>
      </c>
      <c r="H21" s="1136">
        <f t="shared" ref="H21:H29" si="5">SUM(E21:G21)</f>
        <v>0</v>
      </c>
      <c r="I21" s="812">
        <f t="shared" si="3"/>
        <v>0</v>
      </c>
      <c r="J21" s="1206">
        <v>4.4000000000000003E-3</v>
      </c>
      <c r="K21" s="1209">
        <f t="shared" ref="K21:K30" si="6">M20+I21</f>
        <v>0</v>
      </c>
      <c r="L21" s="1210">
        <f>(M20+K21)/2*J21</f>
        <v>0</v>
      </c>
      <c r="M21" s="1210">
        <f t="shared" si="2"/>
        <v>0</v>
      </c>
      <c r="N21" s="587">
        <f t="shared" si="1"/>
        <v>12</v>
      </c>
      <c r="O21" s="829"/>
    </row>
    <row r="22" spans="1:17">
      <c r="A22" s="587">
        <f t="shared" si="0"/>
        <v>13</v>
      </c>
      <c r="B22" s="1131" t="s">
        <v>726</v>
      </c>
      <c r="C22" s="1132" t="str">
        <f>C19</f>
        <v>2019</v>
      </c>
      <c r="D22" s="1208">
        <v>0</v>
      </c>
      <c r="E22" s="812">
        <v>0</v>
      </c>
      <c r="F22" s="812">
        <v>0</v>
      </c>
      <c r="G22" s="812">
        <v>0</v>
      </c>
      <c r="H22" s="1136">
        <f t="shared" si="5"/>
        <v>0</v>
      </c>
      <c r="I22" s="812">
        <f>D22-H22</f>
        <v>0</v>
      </c>
      <c r="J22" s="1206">
        <v>4.4999999999999997E-3</v>
      </c>
      <c r="K22" s="1209">
        <f t="shared" si="6"/>
        <v>0</v>
      </c>
      <c r="L22" s="1210">
        <f>(M21+K22)/2*J22</f>
        <v>0</v>
      </c>
      <c r="M22" s="1210">
        <f t="shared" si="2"/>
        <v>0</v>
      </c>
      <c r="N22" s="587">
        <f t="shared" si="1"/>
        <v>13</v>
      </c>
      <c r="O22" s="829"/>
      <c r="Q22" s="1211"/>
    </row>
    <row r="23" spans="1:17">
      <c r="A23" s="587">
        <f t="shared" si="0"/>
        <v>14</v>
      </c>
      <c r="B23" s="1134" t="s">
        <v>727</v>
      </c>
      <c r="C23" s="1132" t="str">
        <f>C19</f>
        <v>2019</v>
      </c>
      <c r="D23" s="1208">
        <v>0</v>
      </c>
      <c r="E23" s="812">
        <v>0</v>
      </c>
      <c r="F23" s="812">
        <v>0</v>
      </c>
      <c r="G23" s="812">
        <v>0</v>
      </c>
      <c r="H23" s="1136">
        <f t="shared" si="5"/>
        <v>0</v>
      </c>
      <c r="I23" s="812">
        <f t="shared" si="3"/>
        <v>0</v>
      </c>
      <c r="J23" s="1206">
        <v>4.5999999999999999E-3</v>
      </c>
      <c r="K23" s="1209">
        <f t="shared" si="6"/>
        <v>0</v>
      </c>
      <c r="L23" s="1210">
        <f t="shared" si="4"/>
        <v>0</v>
      </c>
      <c r="M23" s="1210">
        <f t="shared" si="2"/>
        <v>0</v>
      </c>
      <c r="N23" s="587">
        <f t="shared" si="1"/>
        <v>14</v>
      </c>
      <c r="O23" s="829"/>
    </row>
    <row r="24" spans="1:17">
      <c r="A24" s="587">
        <f t="shared" si="0"/>
        <v>15</v>
      </c>
      <c r="B24" s="1134" t="s">
        <v>728</v>
      </c>
      <c r="C24" s="1132" t="str">
        <f>C19</f>
        <v>2019</v>
      </c>
      <c r="D24" s="781">
        <f>'Summary of Cost Components'!C40</f>
        <v>70.620858352455215</v>
      </c>
      <c r="E24" s="781">
        <f>'D1. Sec.4 - PY Invoice Summary'!C48</f>
        <v>75.821720569928246</v>
      </c>
      <c r="F24" s="781">
        <f>-'D1. Sec.4 - PY Invoice Summary'!$C$42-'D1. Sec.4 - PY Invoice Summary'!$C$44</f>
        <v>0</v>
      </c>
      <c r="G24" s="781">
        <f>-'D1. Sec.4 - PY Invoice Summary'!$C$46</f>
        <v>0</v>
      </c>
      <c r="H24" s="1136">
        <f t="shared" si="5"/>
        <v>75.821720569928246</v>
      </c>
      <c r="I24" s="812">
        <f t="shared" si="3"/>
        <v>-5.2008622174730306</v>
      </c>
      <c r="J24" s="1206">
        <v>4.4999999999999997E-3</v>
      </c>
      <c r="K24" s="1209">
        <f t="shared" si="6"/>
        <v>-5.2008622174730306</v>
      </c>
      <c r="L24" s="1210">
        <f>(M23+K24)/2*J24</f>
        <v>-1.1701939989314318E-2</v>
      </c>
      <c r="M24" s="1210">
        <f t="shared" si="2"/>
        <v>-5.2125641574623449</v>
      </c>
      <c r="N24" s="587">
        <f t="shared" si="1"/>
        <v>15</v>
      </c>
      <c r="O24" s="829"/>
    </row>
    <row r="25" spans="1:17">
      <c r="A25" s="587">
        <f t="shared" si="0"/>
        <v>16</v>
      </c>
      <c r="B25" s="1131" t="s">
        <v>729</v>
      </c>
      <c r="C25" s="1132" t="str">
        <f>C19</f>
        <v>2019</v>
      </c>
      <c r="D25" s="1208">
        <f>$D$24</f>
        <v>70.620858352455215</v>
      </c>
      <c r="E25" s="812">
        <f>$E$24</f>
        <v>75.821720569928246</v>
      </c>
      <c r="F25" s="812">
        <f>$F$24</f>
        <v>0</v>
      </c>
      <c r="G25" s="812">
        <f>$G$24</f>
        <v>0</v>
      </c>
      <c r="H25" s="1136">
        <f t="shared" si="5"/>
        <v>75.821720569928246</v>
      </c>
      <c r="I25" s="812">
        <f t="shared" si="3"/>
        <v>-5.2008622174730306</v>
      </c>
      <c r="J25" s="1206">
        <v>4.7000000000000002E-3</v>
      </c>
      <c r="K25" s="1209">
        <f t="shared" si="6"/>
        <v>-10.413426374935376</v>
      </c>
      <c r="L25" s="1210">
        <f t="shared" si="4"/>
        <v>-3.6721077751134645E-2</v>
      </c>
      <c r="M25" s="1210">
        <f t="shared" si="2"/>
        <v>-10.450147452686512</v>
      </c>
      <c r="N25" s="587">
        <f t="shared" si="1"/>
        <v>16</v>
      </c>
      <c r="O25" s="829"/>
    </row>
    <row r="26" spans="1:17">
      <c r="A26" s="587">
        <f t="shared" si="0"/>
        <v>17</v>
      </c>
      <c r="B26" s="1134" t="s">
        <v>731</v>
      </c>
      <c r="C26" s="1132" t="str">
        <f>C19</f>
        <v>2019</v>
      </c>
      <c r="D26" s="1208">
        <f t="shared" ref="D26:D30" si="7">$D$24</f>
        <v>70.620858352455215</v>
      </c>
      <c r="E26" s="812">
        <f t="shared" ref="E26:E30" si="8">$E$24</f>
        <v>75.821720569928246</v>
      </c>
      <c r="F26" s="812">
        <f t="shared" ref="F26:F30" si="9">$F$24</f>
        <v>0</v>
      </c>
      <c r="G26" s="812">
        <f t="shared" ref="G26:G30" si="10">$G$24</f>
        <v>0</v>
      </c>
      <c r="H26" s="1136">
        <f t="shared" si="5"/>
        <v>75.821720569928246</v>
      </c>
      <c r="I26" s="812">
        <f t="shared" si="3"/>
        <v>-5.2008622174730306</v>
      </c>
      <c r="J26" s="1206">
        <v>4.7000000000000002E-3</v>
      </c>
      <c r="K26" s="1209">
        <f t="shared" si="6"/>
        <v>-15.651009670159542</v>
      </c>
      <c r="L26" s="1210">
        <f t="shared" si="4"/>
        <v>-6.1337719238688228E-2</v>
      </c>
      <c r="M26" s="1210">
        <f t="shared" si="2"/>
        <v>-15.71234738939823</v>
      </c>
      <c r="N26" s="587">
        <f t="shared" si="1"/>
        <v>17</v>
      </c>
      <c r="O26" s="829"/>
    </row>
    <row r="27" spans="1:17">
      <c r="A27" s="587">
        <f t="shared" si="0"/>
        <v>18</v>
      </c>
      <c r="B27" s="1134" t="s">
        <v>732</v>
      </c>
      <c r="C27" s="1132" t="str">
        <f>C19</f>
        <v>2019</v>
      </c>
      <c r="D27" s="1208">
        <f t="shared" si="7"/>
        <v>70.620858352455215</v>
      </c>
      <c r="E27" s="812">
        <f t="shared" si="8"/>
        <v>75.821720569928246</v>
      </c>
      <c r="F27" s="812">
        <f t="shared" si="9"/>
        <v>0</v>
      </c>
      <c r="G27" s="812">
        <f t="shared" si="10"/>
        <v>0</v>
      </c>
      <c r="H27" s="1136">
        <f t="shared" si="5"/>
        <v>75.821720569928246</v>
      </c>
      <c r="I27" s="812">
        <f t="shared" si="3"/>
        <v>-5.2008622174730306</v>
      </c>
      <c r="J27" s="1206">
        <v>4.4999999999999997E-3</v>
      </c>
      <c r="K27" s="1209">
        <f t="shared" si="6"/>
        <v>-20.913209606871263</v>
      </c>
      <c r="L27" s="1210">
        <f t="shared" si="4"/>
        <v>-8.2407503241606353E-2</v>
      </c>
      <c r="M27" s="1210">
        <f t="shared" si="2"/>
        <v>-20.995617110112867</v>
      </c>
      <c r="N27" s="587">
        <f t="shared" si="1"/>
        <v>18</v>
      </c>
      <c r="O27" s="829"/>
    </row>
    <row r="28" spans="1:17">
      <c r="A28" s="587">
        <f t="shared" si="0"/>
        <v>19</v>
      </c>
      <c r="B28" s="1131" t="s">
        <v>733</v>
      </c>
      <c r="C28" s="1132" t="str">
        <f>C19</f>
        <v>2019</v>
      </c>
      <c r="D28" s="1208">
        <f t="shared" si="7"/>
        <v>70.620858352455215</v>
      </c>
      <c r="E28" s="812">
        <f t="shared" si="8"/>
        <v>75.821720569928246</v>
      </c>
      <c r="F28" s="812">
        <f t="shared" si="9"/>
        <v>0</v>
      </c>
      <c r="G28" s="812">
        <f t="shared" si="10"/>
        <v>0</v>
      </c>
      <c r="H28" s="1136">
        <f t="shared" si="5"/>
        <v>75.821720569928246</v>
      </c>
      <c r="I28" s="812">
        <f t="shared" si="3"/>
        <v>-5.2008622174730306</v>
      </c>
      <c r="J28" s="1206">
        <v>4.5999999999999999E-3</v>
      </c>
      <c r="K28" s="1209">
        <f t="shared" si="6"/>
        <v>-26.196479327585898</v>
      </c>
      <c r="L28" s="1210">
        <f t="shared" si="4"/>
        <v>-0.10854182180670716</v>
      </c>
      <c r="M28" s="1210">
        <f t="shared" si="2"/>
        <v>-26.305021149392605</v>
      </c>
      <c r="N28" s="587">
        <f t="shared" si="1"/>
        <v>19</v>
      </c>
      <c r="O28" s="829"/>
    </row>
    <row r="29" spans="1:17">
      <c r="A29" s="587">
        <f t="shared" si="0"/>
        <v>20</v>
      </c>
      <c r="B29" s="1131" t="s">
        <v>734</v>
      </c>
      <c r="C29" s="1132" t="str">
        <f>C19</f>
        <v>2019</v>
      </c>
      <c r="D29" s="1208">
        <f t="shared" si="7"/>
        <v>70.620858352455215</v>
      </c>
      <c r="E29" s="812">
        <f t="shared" si="8"/>
        <v>75.821720569928246</v>
      </c>
      <c r="F29" s="812">
        <f t="shared" si="9"/>
        <v>0</v>
      </c>
      <c r="G29" s="812">
        <f t="shared" si="10"/>
        <v>0</v>
      </c>
      <c r="H29" s="1136">
        <f t="shared" si="5"/>
        <v>75.821720569928246</v>
      </c>
      <c r="I29" s="812">
        <f t="shared" si="3"/>
        <v>-5.2008622174730306</v>
      </c>
      <c r="J29" s="1206">
        <v>4.4999999999999997E-3</v>
      </c>
      <c r="K29" s="1209">
        <f t="shared" si="6"/>
        <v>-31.505883366865636</v>
      </c>
      <c r="L29" s="1210">
        <f t="shared" si="4"/>
        <v>-0.13007453516158102</v>
      </c>
      <c r="M29" s="1210">
        <f t="shared" si="2"/>
        <v>-31.635957902027215</v>
      </c>
      <c r="N29" s="587">
        <f t="shared" si="1"/>
        <v>20</v>
      </c>
      <c r="O29" s="829"/>
    </row>
    <row r="30" spans="1:17">
      <c r="A30" s="587">
        <f t="shared" si="0"/>
        <v>21</v>
      </c>
      <c r="B30" s="1138" t="s">
        <v>735</v>
      </c>
      <c r="C30" s="1139" t="str">
        <f>C19</f>
        <v>2019</v>
      </c>
      <c r="D30" s="1208">
        <f t="shared" si="7"/>
        <v>70.620858352455215</v>
      </c>
      <c r="E30" s="812">
        <f t="shared" si="8"/>
        <v>75.821720569928246</v>
      </c>
      <c r="F30" s="998">
        <f t="shared" si="9"/>
        <v>0</v>
      </c>
      <c r="G30" s="812">
        <f t="shared" si="10"/>
        <v>0</v>
      </c>
      <c r="H30" s="1142">
        <f>SUM(E30:G30)</f>
        <v>75.821720569928246</v>
      </c>
      <c r="I30" s="998">
        <f t="shared" si="3"/>
        <v>-5.2008622174730306</v>
      </c>
      <c r="J30" s="1212">
        <v>4.5999999999999999E-3</v>
      </c>
      <c r="K30" s="1213">
        <f t="shared" si="6"/>
        <v>-36.836820119500246</v>
      </c>
      <c r="L30" s="1214">
        <f t="shared" si="4"/>
        <v>-0.15748738944951315</v>
      </c>
      <c r="M30" s="1142">
        <f t="shared" si="2"/>
        <v>-36.99430750894976</v>
      </c>
      <c r="N30" s="587">
        <f t="shared" si="1"/>
        <v>21</v>
      </c>
      <c r="O30" s="829"/>
    </row>
    <row r="31" spans="1:17" ht="16.5" thickBot="1">
      <c r="A31" s="587">
        <f t="shared" si="0"/>
        <v>22</v>
      </c>
      <c r="D31" s="1215">
        <f t="shared" ref="D31:I31" si="11">SUM(D19:D30)</f>
        <v>494.34600846718655</v>
      </c>
      <c r="E31" s="1215">
        <f t="shared" si="11"/>
        <v>530.75204398949768</v>
      </c>
      <c r="F31" s="1215">
        <f t="shared" si="11"/>
        <v>0</v>
      </c>
      <c r="G31" s="1215">
        <f t="shared" si="11"/>
        <v>0</v>
      </c>
      <c r="H31" s="1215">
        <f t="shared" si="11"/>
        <v>530.75204398949768</v>
      </c>
      <c r="I31" s="1215">
        <f t="shared" si="11"/>
        <v>-36.406035522311214</v>
      </c>
      <c r="J31" s="1216"/>
      <c r="K31" s="1217"/>
      <c r="L31" s="1215">
        <f>SUM(L19:L30)</f>
        <v>-0.58827198663854485</v>
      </c>
      <c r="M31" s="1217"/>
      <c r="N31" s="587">
        <f t="shared" si="1"/>
        <v>22</v>
      </c>
    </row>
    <row r="32" spans="1:17" ht="16.5" thickTop="1">
      <c r="D32" s="1218"/>
      <c r="E32" s="1218"/>
      <c r="F32" s="1218"/>
      <c r="G32" s="1218"/>
      <c r="H32" s="1218"/>
      <c r="I32" s="1218"/>
      <c r="J32" s="1219"/>
      <c r="K32" s="1219"/>
      <c r="L32" s="1218"/>
      <c r="M32" s="1219"/>
    </row>
    <row r="33" spans="1:17">
      <c r="B33" s="1220"/>
      <c r="F33" s="1221"/>
      <c r="G33" s="1221"/>
    </row>
    <row r="34" spans="1:17" ht="18.75">
      <c r="A34" s="1145">
        <v>1</v>
      </c>
      <c r="B34" s="397" t="s">
        <v>1007</v>
      </c>
      <c r="F34" s="1221"/>
      <c r="G34" s="1221"/>
      <c r="H34" s="694"/>
      <c r="I34" s="694"/>
      <c r="J34" s="694"/>
      <c r="K34" s="694"/>
      <c r="L34" s="694"/>
      <c r="M34" s="694"/>
      <c r="N34" s="820"/>
      <c r="O34" s="694"/>
      <c r="P34" s="694"/>
      <c r="Q34" s="694"/>
    </row>
    <row r="35" spans="1:17" ht="18.75">
      <c r="A35" s="1145">
        <v>2</v>
      </c>
      <c r="B35" s="397" t="s">
        <v>1008</v>
      </c>
      <c r="F35" s="818"/>
      <c r="G35" s="818"/>
      <c r="H35" s="818"/>
      <c r="I35" s="694"/>
      <c r="J35" s="694"/>
      <c r="K35" s="694"/>
      <c r="L35" s="694"/>
      <c r="M35" s="694"/>
      <c r="N35" s="820"/>
      <c r="O35" s="694"/>
      <c r="P35" s="694"/>
      <c r="Q35" s="694"/>
    </row>
    <row r="36" spans="1:17" ht="18.75">
      <c r="A36" s="1145">
        <v>3</v>
      </c>
      <c r="B36" s="397" t="s">
        <v>775</v>
      </c>
      <c r="H36" s="694"/>
      <c r="I36" s="694"/>
      <c r="J36" s="694"/>
      <c r="K36" s="694"/>
      <c r="L36" s="694"/>
      <c r="M36" s="694"/>
      <c r="N36" s="820"/>
      <c r="O36" s="694"/>
      <c r="P36" s="694"/>
      <c r="Q36" s="694"/>
    </row>
    <row r="37" spans="1:17" ht="18.75">
      <c r="A37" s="1145">
        <v>4</v>
      </c>
      <c r="B37" s="694" t="s">
        <v>776</v>
      </c>
      <c r="C37" s="694"/>
      <c r="D37" s="694"/>
      <c r="E37" s="694"/>
      <c r="H37" s="694"/>
      <c r="I37" s="694"/>
      <c r="J37" s="694"/>
      <c r="K37" s="694"/>
    </row>
    <row r="38" spans="1:17" ht="18.75">
      <c r="A38" s="1145"/>
      <c r="B38" s="694" t="s">
        <v>736</v>
      </c>
      <c r="C38" s="694"/>
      <c r="D38" s="694"/>
      <c r="E38" s="694"/>
      <c r="H38" s="694"/>
      <c r="I38" s="694"/>
      <c r="J38" s="694"/>
      <c r="K38" s="694"/>
    </row>
    <row r="39" spans="1:17" ht="18.75">
      <c r="A39" s="1145">
        <v>5</v>
      </c>
      <c r="B39" s="397" t="s">
        <v>737</v>
      </c>
      <c r="C39" s="1189"/>
    </row>
    <row r="40" spans="1:17" ht="18.75">
      <c r="A40" s="1145">
        <v>6</v>
      </c>
      <c r="B40" s="397" t="s">
        <v>738</v>
      </c>
    </row>
    <row r="41" spans="1:17" ht="18.75">
      <c r="A41" s="1145">
        <v>7</v>
      </c>
      <c r="B41" s="397" t="s">
        <v>739</v>
      </c>
    </row>
  </sheetData>
  <mergeCells count="5">
    <mergeCell ref="B6:M6"/>
    <mergeCell ref="B4:N4"/>
    <mergeCell ref="B5:N5"/>
    <mergeCell ref="B3:N3"/>
    <mergeCell ref="B2:N2"/>
  </mergeCells>
  <printOptions horizontalCentered="1"/>
  <pageMargins left="0.5" right="0.5" top="0.5" bottom="0.5" header="0.25" footer="0.25"/>
  <pageSetup scale="49" orientation="landscape" r:id="rId1"/>
  <headerFooter scaleWithDoc="0">
    <oddFooter>&amp;C&amp;"Times New Roman,Regular"&amp;10Section 4
TU</oddFooter>
  </headerFooter>
  <rowBreaks count="1" manualBreakCount="1">
    <brk id="48" max="14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2:I34"/>
  <sheetViews>
    <sheetView view="pageBreakPreview" zoomScale="60" zoomScaleNormal="80" zoomScalePageLayoutView="80" workbookViewId="0">
      <selection activeCell="C7" sqref="C7"/>
    </sheetView>
  </sheetViews>
  <sheetFormatPr defaultColWidth="9.140625" defaultRowHeight="15.75"/>
  <cols>
    <col min="1" max="1" width="5.140625" style="915" customWidth="1"/>
    <col min="2" max="2" width="35.140625" style="170" customWidth="1"/>
    <col min="3" max="3" width="18.5703125" style="176" customWidth="1"/>
    <col min="4" max="4" width="62.5703125" style="306" customWidth="1"/>
    <col min="5" max="5" width="5.140625" style="918" customWidth="1"/>
    <col min="6" max="6" width="21.140625" style="176" customWidth="1"/>
    <col min="7" max="7" width="20.140625" style="176" customWidth="1"/>
    <col min="8" max="8" width="17.42578125" style="176" customWidth="1"/>
    <col min="9" max="9" width="16.85546875" style="176" customWidth="1"/>
    <col min="10" max="10" width="21.140625" style="170" customWidth="1"/>
    <col min="11" max="11" width="15" style="170" customWidth="1"/>
    <col min="12" max="12" width="11" style="170" customWidth="1"/>
    <col min="13" max="13" width="7.140625" style="170" customWidth="1"/>
    <col min="14" max="14" width="9.140625" style="170" customWidth="1"/>
    <col min="15" max="15" width="14" style="170" customWidth="1"/>
    <col min="16" max="16" width="13.42578125" style="170" customWidth="1"/>
    <col min="17" max="16384" width="9.140625" style="170"/>
  </cols>
  <sheetData>
    <row r="2" spans="1:6">
      <c r="B2" s="1642" t="s">
        <v>17</v>
      </c>
      <c r="C2" s="1642"/>
      <c r="D2" s="1642"/>
      <c r="E2" s="918" t="s">
        <v>9</v>
      </c>
      <c r="F2" s="170"/>
    </row>
    <row r="3" spans="1:6">
      <c r="B3" s="1642" t="s">
        <v>213</v>
      </c>
      <c r="C3" s="1642"/>
      <c r="D3" s="1642"/>
      <c r="E3" s="918" t="s">
        <v>9</v>
      </c>
      <c r="F3" s="170"/>
    </row>
    <row r="4" spans="1:6">
      <c r="B4" s="1642" t="s">
        <v>214</v>
      </c>
      <c r="C4" s="1642"/>
      <c r="D4" s="1642"/>
      <c r="E4" s="918" t="s">
        <v>9</v>
      </c>
      <c r="F4" s="170"/>
    </row>
    <row r="5" spans="1:6">
      <c r="B5" s="1642" t="str">
        <f>"BASE PERIOD / TRUE UP PERIOD - 12/31/"&amp;Automation!$B$3&amp;" PER BOOK"</f>
        <v>BASE PERIOD / TRUE UP PERIOD - 12/31/2019 PER BOOK</v>
      </c>
      <c r="C5" s="1642"/>
      <c r="D5" s="1642"/>
      <c r="E5" s="915"/>
      <c r="F5" s="170"/>
    </row>
    <row r="6" spans="1:6">
      <c r="B6" s="1671" t="s">
        <v>2</v>
      </c>
      <c r="C6" s="1671"/>
      <c r="D6" s="1671"/>
      <c r="E6" s="918" t="s">
        <v>9</v>
      </c>
      <c r="F6" s="173"/>
    </row>
    <row r="7" spans="1:6">
      <c r="B7" s="555"/>
      <c r="C7" s="173"/>
      <c r="F7" s="173"/>
    </row>
    <row r="8" spans="1:6">
      <c r="B8" s="1642" t="s">
        <v>470</v>
      </c>
      <c r="C8" s="1642"/>
      <c r="D8" s="1642"/>
      <c r="E8" s="915"/>
      <c r="F8" s="173"/>
    </row>
    <row r="9" spans="1:6">
      <c r="B9" s="1642" t="s">
        <v>215</v>
      </c>
      <c r="C9" s="1642"/>
      <c r="D9" s="1642"/>
      <c r="E9" s="915"/>
    </row>
    <row r="10" spans="1:6">
      <c r="B10" s="556"/>
      <c r="C10" s="557"/>
      <c r="D10" s="394"/>
      <c r="E10" s="918" t="s">
        <v>9</v>
      </c>
    </row>
    <row r="11" spans="1:6">
      <c r="B11" s="179"/>
      <c r="C11" s="294" t="s">
        <v>30</v>
      </c>
      <c r="D11" s="245"/>
      <c r="E11" s="919"/>
      <c r="F11" s="227"/>
    </row>
    <row r="12" spans="1:6">
      <c r="B12" s="189"/>
      <c r="C12" s="182" t="s">
        <v>216</v>
      </c>
      <c r="D12" s="182"/>
      <c r="E12" s="919"/>
      <c r="F12" s="227"/>
    </row>
    <row r="13" spans="1:6">
      <c r="A13" s="919" t="s">
        <v>3</v>
      </c>
      <c r="B13" s="182"/>
      <c r="C13" s="182" t="s">
        <v>217</v>
      </c>
      <c r="D13" s="182"/>
      <c r="E13" s="919" t="s">
        <v>3</v>
      </c>
      <c r="F13" s="227"/>
    </row>
    <row r="14" spans="1:6">
      <c r="A14" s="919" t="s">
        <v>24</v>
      </c>
      <c r="B14" s="191" t="s">
        <v>22</v>
      </c>
      <c r="C14" s="182" t="s">
        <v>218</v>
      </c>
      <c r="D14" s="191" t="s">
        <v>8</v>
      </c>
      <c r="E14" s="919" t="s">
        <v>24</v>
      </c>
      <c r="F14" s="227"/>
    </row>
    <row r="15" spans="1:6">
      <c r="A15" s="558">
        <v>1</v>
      </c>
      <c r="B15" s="195" t="str">
        <f>"Dec-"&amp;RIGHT(Automation!$B$3-1,2)</f>
        <v>Dec-18</v>
      </c>
      <c r="C15" s="559">
        <v>132306.454</v>
      </c>
      <c r="D15" s="380" t="s">
        <v>415</v>
      </c>
      <c r="E15" s="558">
        <f>A15</f>
        <v>1</v>
      </c>
      <c r="F15" s="560"/>
    </row>
    <row r="16" spans="1:6">
      <c r="A16" s="558">
        <f>A15+1</f>
        <v>2</v>
      </c>
      <c r="B16" s="195" t="str">
        <f>"Jan-"&amp;RIGHT(Automation!$B$3,2)</f>
        <v>Jan-19</v>
      </c>
      <c r="C16" s="325">
        <v>132211.39499999999</v>
      </c>
      <c r="D16" s="380"/>
      <c r="E16" s="558">
        <f>E15+1</f>
        <v>2</v>
      </c>
      <c r="F16" s="560"/>
    </row>
    <row r="17" spans="1:6">
      <c r="A17" s="558">
        <f t="shared" ref="A17:A32" si="0">A16+1</f>
        <v>3</v>
      </c>
      <c r="B17" s="195" t="s">
        <v>35</v>
      </c>
      <c r="C17" s="325">
        <v>132043.24100000001</v>
      </c>
      <c r="D17" s="380"/>
      <c r="E17" s="558">
        <f t="shared" ref="E17:E32" si="1">E16+1</f>
        <v>3</v>
      </c>
      <c r="F17" s="560"/>
    </row>
    <row r="18" spans="1:6">
      <c r="A18" s="558">
        <f t="shared" si="0"/>
        <v>4</v>
      </c>
      <c r="B18" s="195" t="s">
        <v>36</v>
      </c>
      <c r="C18" s="325">
        <v>129337.58199999999</v>
      </c>
      <c r="D18" s="380"/>
      <c r="E18" s="558">
        <f t="shared" si="1"/>
        <v>4</v>
      </c>
      <c r="F18" s="560"/>
    </row>
    <row r="19" spans="1:6">
      <c r="A19" s="558">
        <f t="shared" si="0"/>
        <v>5</v>
      </c>
      <c r="B19" s="195" t="s">
        <v>37</v>
      </c>
      <c r="C19" s="325">
        <v>127915.088</v>
      </c>
      <c r="D19" s="380"/>
      <c r="E19" s="558">
        <f t="shared" si="1"/>
        <v>5</v>
      </c>
      <c r="F19" s="560"/>
    </row>
    <row r="20" spans="1:6">
      <c r="A20" s="558">
        <f t="shared" si="0"/>
        <v>6</v>
      </c>
      <c r="B20" s="195" t="s">
        <v>38</v>
      </c>
      <c r="C20" s="325">
        <v>126755.886</v>
      </c>
      <c r="D20" s="380"/>
      <c r="E20" s="558">
        <f t="shared" si="1"/>
        <v>6</v>
      </c>
      <c r="F20" s="560"/>
    </row>
    <row r="21" spans="1:6">
      <c r="A21" s="558">
        <f t="shared" si="0"/>
        <v>7</v>
      </c>
      <c r="B21" s="195" t="s">
        <v>39</v>
      </c>
      <c r="C21" s="325">
        <v>125567.656</v>
      </c>
      <c r="D21" s="376"/>
      <c r="E21" s="558">
        <f t="shared" si="1"/>
        <v>7</v>
      </c>
      <c r="F21" s="560"/>
    </row>
    <row r="22" spans="1:6">
      <c r="A22" s="558">
        <f t="shared" si="0"/>
        <v>8</v>
      </c>
      <c r="B22" s="195" t="s">
        <v>40</v>
      </c>
      <c r="C22" s="325">
        <v>125546.2</v>
      </c>
      <c r="D22" s="376"/>
      <c r="E22" s="558">
        <f t="shared" si="1"/>
        <v>8</v>
      </c>
      <c r="F22" s="560"/>
    </row>
    <row r="23" spans="1:6">
      <c r="A23" s="558">
        <f t="shared" si="0"/>
        <v>9</v>
      </c>
      <c r="B23" s="195" t="s">
        <v>41</v>
      </c>
      <c r="C23" s="325">
        <v>125620.86</v>
      </c>
      <c r="D23" s="376"/>
      <c r="E23" s="558">
        <f t="shared" si="1"/>
        <v>9</v>
      </c>
      <c r="F23" s="560"/>
    </row>
    <row r="24" spans="1:6">
      <c r="A24" s="558">
        <f t="shared" si="0"/>
        <v>10</v>
      </c>
      <c r="B24" s="195" t="s">
        <v>42</v>
      </c>
      <c r="C24" s="325">
        <v>125380.57799999999</v>
      </c>
      <c r="D24" s="376"/>
      <c r="E24" s="558">
        <f t="shared" si="1"/>
        <v>10</v>
      </c>
      <c r="F24" s="560"/>
    </row>
    <row r="25" spans="1:6">
      <c r="A25" s="558">
        <f t="shared" si="0"/>
        <v>11</v>
      </c>
      <c r="B25" s="195" t="s">
        <v>43</v>
      </c>
      <c r="C25" s="325">
        <v>127266.166</v>
      </c>
      <c r="D25" s="376"/>
      <c r="E25" s="558">
        <f t="shared" si="1"/>
        <v>11</v>
      </c>
      <c r="F25" s="560"/>
    </row>
    <row r="26" spans="1:6">
      <c r="A26" s="558">
        <f t="shared" si="0"/>
        <v>12</v>
      </c>
      <c r="B26" s="195" t="s">
        <v>44</v>
      </c>
      <c r="C26" s="325">
        <v>127284.05100000001</v>
      </c>
      <c r="D26" s="379"/>
      <c r="E26" s="558">
        <f t="shared" si="1"/>
        <v>12</v>
      </c>
      <c r="F26" s="560"/>
    </row>
    <row r="27" spans="1:6">
      <c r="A27" s="558">
        <f t="shared" si="0"/>
        <v>13</v>
      </c>
      <c r="B27" s="207" t="str">
        <f>"Dec-"&amp;RIGHT(Automation!$B$3,2)</f>
        <v>Dec-19</v>
      </c>
      <c r="C27" s="333">
        <v>127133.879</v>
      </c>
      <c r="D27" s="561" t="s">
        <v>415</v>
      </c>
      <c r="E27" s="558">
        <f t="shared" si="1"/>
        <v>13</v>
      </c>
      <c r="F27" s="560"/>
    </row>
    <row r="28" spans="1:6">
      <c r="A28" s="558">
        <f t="shared" si="0"/>
        <v>14</v>
      </c>
      <c r="B28" s="562"/>
      <c r="C28" s="563"/>
      <c r="D28" s="564"/>
      <c r="E28" s="558">
        <f t="shared" si="1"/>
        <v>14</v>
      </c>
      <c r="F28" s="227"/>
    </row>
    <row r="29" spans="1:6">
      <c r="A29" s="558">
        <f t="shared" si="0"/>
        <v>15</v>
      </c>
      <c r="B29" s="209" t="s">
        <v>45</v>
      </c>
      <c r="C29" s="425">
        <f>SUM(C15:C27)</f>
        <v>1664369.0359999998</v>
      </c>
      <c r="D29" s="565" t="str">
        <f>"Sum Lines "&amp;A15&amp;" thru "&amp;A27</f>
        <v>Sum Lines 1 thru 13</v>
      </c>
      <c r="E29" s="558">
        <f t="shared" si="1"/>
        <v>15</v>
      </c>
      <c r="F29" s="227"/>
    </row>
    <row r="30" spans="1:6">
      <c r="A30" s="558">
        <f t="shared" si="0"/>
        <v>16</v>
      </c>
      <c r="B30" s="216"/>
      <c r="C30" s="276"/>
      <c r="D30" s="561"/>
      <c r="E30" s="558">
        <f t="shared" si="1"/>
        <v>16</v>
      </c>
      <c r="F30" s="227"/>
    </row>
    <row r="31" spans="1:6">
      <c r="A31" s="558">
        <f t="shared" si="0"/>
        <v>17</v>
      </c>
      <c r="B31" s="179"/>
      <c r="C31" s="566"/>
      <c r="D31" s="567"/>
      <c r="E31" s="558">
        <f t="shared" si="1"/>
        <v>17</v>
      </c>
      <c r="F31" s="227"/>
    </row>
    <row r="32" spans="1:6">
      <c r="A32" s="558">
        <f t="shared" si="0"/>
        <v>18</v>
      </c>
      <c r="B32" s="209" t="s">
        <v>46</v>
      </c>
      <c r="C32" s="366">
        <f>C29/13</f>
        <v>128028.38738461537</v>
      </c>
      <c r="D32" s="891" t="s">
        <v>469</v>
      </c>
      <c r="E32" s="558">
        <f t="shared" si="1"/>
        <v>18</v>
      </c>
      <c r="F32" s="227"/>
    </row>
    <row r="33" spans="1:6">
      <c r="A33" s="558">
        <f>A32+1</f>
        <v>19</v>
      </c>
      <c r="B33" s="216"/>
      <c r="C33" s="369"/>
      <c r="D33" s="568"/>
      <c r="E33" s="558">
        <f>E32+1</f>
        <v>19</v>
      </c>
      <c r="F33" s="227"/>
    </row>
    <row r="34" spans="1:6">
      <c r="A34" s="919"/>
    </row>
  </sheetData>
  <mergeCells count="7">
    <mergeCell ref="B8:D8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2:F142"/>
  <sheetViews>
    <sheetView zoomScale="80" zoomScaleNormal="80" zoomScalePageLayoutView="80" workbookViewId="0">
      <selection activeCell="C7" sqref="C7"/>
    </sheetView>
  </sheetViews>
  <sheetFormatPr defaultColWidth="9.140625" defaultRowHeight="15.75"/>
  <cols>
    <col min="1" max="1" width="5.140625" style="915" customWidth="1"/>
    <col min="2" max="2" width="35.140625" style="170" customWidth="1"/>
    <col min="3" max="3" width="18.5703125" style="176" customWidth="1"/>
    <col min="4" max="4" width="62.5703125" style="176" customWidth="1"/>
    <col min="5" max="5" width="5.140625" style="577" customWidth="1"/>
    <col min="6" max="6" width="9.42578125" style="170" bestFit="1" customWidth="1"/>
    <col min="7" max="16384" width="9.140625" style="170"/>
  </cols>
  <sheetData>
    <row r="2" spans="1:6" s="227" customFormat="1">
      <c r="A2" s="919"/>
      <c r="B2" s="1642" t="s">
        <v>17</v>
      </c>
      <c r="C2" s="1642"/>
      <c r="D2" s="1642"/>
      <c r="E2" s="919"/>
      <c r="F2" s="170"/>
    </row>
    <row r="3" spans="1:6" s="227" customFormat="1">
      <c r="A3" s="919"/>
      <c r="B3" s="1642" t="s">
        <v>213</v>
      </c>
      <c r="C3" s="1642"/>
      <c r="D3" s="1642"/>
      <c r="E3" s="919"/>
      <c r="F3" s="170"/>
    </row>
    <row r="4" spans="1:6" s="227" customFormat="1">
      <c r="A4" s="919"/>
      <c r="B4" s="1642" t="s">
        <v>214</v>
      </c>
      <c r="C4" s="1642"/>
      <c r="D4" s="1642"/>
      <c r="E4" s="919"/>
      <c r="F4" s="170"/>
    </row>
    <row r="5" spans="1:6" s="227" customFormat="1">
      <c r="A5" s="919"/>
      <c r="B5" s="1642" t="str">
        <f>"BASE PERIOD / TRUE UP PERIOD - 12/31/"&amp;Automation!$B$3&amp;" PER BOOK"</f>
        <v>BASE PERIOD / TRUE UP PERIOD - 12/31/2019 PER BOOK</v>
      </c>
      <c r="C5" s="1642"/>
      <c r="D5" s="1642"/>
      <c r="E5" s="919"/>
      <c r="F5" s="170"/>
    </row>
    <row r="6" spans="1:6" s="227" customFormat="1">
      <c r="A6" s="919"/>
      <c r="B6" s="1671" t="s">
        <v>2</v>
      </c>
      <c r="C6" s="1671"/>
      <c r="D6" s="1671"/>
      <c r="E6" s="577" t="s">
        <v>9</v>
      </c>
    </row>
    <row r="7" spans="1:6" s="227" customFormat="1">
      <c r="A7" s="919"/>
      <c r="B7" s="569"/>
      <c r="C7" s="569"/>
      <c r="D7" s="569"/>
      <c r="E7" s="577"/>
    </row>
    <row r="8" spans="1:6" s="227" customFormat="1">
      <c r="A8" s="919"/>
      <c r="B8" s="1642" t="s">
        <v>471</v>
      </c>
      <c r="C8" s="1642"/>
      <c r="D8" s="1642"/>
      <c r="E8" s="577" t="s">
        <v>9</v>
      </c>
    </row>
    <row r="9" spans="1:6" s="227" customFormat="1">
      <c r="A9" s="919"/>
      <c r="B9" s="570"/>
      <c r="C9" s="557"/>
      <c r="D9" s="571"/>
      <c r="E9" s="577"/>
    </row>
    <row r="10" spans="1:6" s="227" customFormat="1">
      <c r="A10" s="919"/>
      <c r="B10" s="572"/>
      <c r="C10" s="294" t="s">
        <v>30</v>
      </c>
      <c r="D10" s="245"/>
      <c r="E10" s="917"/>
    </row>
    <row r="11" spans="1:6" s="227" customFormat="1">
      <c r="A11" s="919" t="s">
        <v>3</v>
      </c>
      <c r="B11" s="182"/>
      <c r="C11" s="182" t="s">
        <v>216</v>
      </c>
      <c r="D11" s="182"/>
      <c r="E11" s="919" t="s">
        <v>3</v>
      </c>
    </row>
    <row r="12" spans="1:6" s="227" customFormat="1">
      <c r="A12" s="919" t="s">
        <v>24</v>
      </c>
      <c r="B12" s="191" t="s">
        <v>22</v>
      </c>
      <c r="C12" s="182" t="s">
        <v>219</v>
      </c>
      <c r="D12" s="191" t="s">
        <v>8</v>
      </c>
      <c r="E12" s="919" t="s">
        <v>24</v>
      </c>
    </row>
    <row r="13" spans="1:6" s="227" customFormat="1">
      <c r="A13" s="558">
        <v>1</v>
      </c>
      <c r="B13" s="195" t="str">
        <f>"Dec-"&amp;RIGHT(Automation!$B$3-1,2)</f>
        <v>Dec-18</v>
      </c>
      <c r="C13" s="559">
        <v>55513.233999999997</v>
      </c>
      <c r="D13" s="380" t="s">
        <v>415</v>
      </c>
      <c r="E13" s="558">
        <f>A13</f>
        <v>1</v>
      </c>
      <c r="F13" s="573"/>
    </row>
    <row r="14" spans="1:6" s="227" customFormat="1">
      <c r="A14" s="558">
        <f>A13+1</f>
        <v>2</v>
      </c>
      <c r="B14" s="195" t="str">
        <f>"Jan-"&amp;RIGHT(Automation!$B$3,2)</f>
        <v>Jan-19</v>
      </c>
      <c r="C14" s="574">
        <v>49279.182000000001</v>
      </c>
      <c r="D14" s="380"/>
      <c r="E14" s="558">
        <f>E13+1</f>
        <v>2</v>
      </c>
      <c r="F14" s="573"/>
    </row>
    <row r="15" spans="1:6" s="227" customFormat="1">
      <c r="A15" s="558">
        <f t="shared" ref="A15:A30" si="0">A14+1</f>
        <v>3</v>
      </c>
      <c r="B15" s="195" t="s">
        <v>35</v>
      </c>
      <c r="C15" s="574">
        <v>41294.54</v>
      </c>
      <c r="D15" s="380"/>
      <c r="E15" s="558">
        <f t="shared" ref="E15:E30" si="1">E14+1</f>
        <v>3</v>
      </c>
      <c r="F15" s="573"/>
    </row>
    <row r="16" spans="1:6" s="227" customFormat="1">
      <c r="A16" s="558">
        <f t="shared" si="0"/>
        <v>4</v>
      </c>
      <c r="B16" s="195" t="s">
        <v>36</v>
      </c>
      <c r="C16" s="574">
        <v>40868.142999999996</v>
      </c>
      <c r="D16" s="380"/>
      <c r="E16" s="558">
        <f t="shared" si="1"/>
        <v>4</v>
      </c>
      <c r="F16" s="573"/>
    </row>
    <row r="17" spans="1:6" s="227" customFormat="1">
      <c r="A17" s="558">
        <f t="shared" si="0"/>
        <v>5</v>
      </c>
      <c r="B17" s="195" t="s">
        <v>37</v>
      </c>
      <c r="C17" s="574">
        <v>59919.067999999999</v>
      </c>
      <c r="D17" s="380"/>
      <c r="E17" s="558">
        <f t="shared" si="1"/>
        <v>5</v>
      </c>
      <c r="F17" s="573"/>
    </row>
    <row r="18" spans="1:6" s="227" customFormat="1">
      <c r="A18" s="558">
        <f t="shared" si="0"/>
        <v>6</v>
      </c>
      <c r="B18" s="195" t="s">
        <v>38</v>
      </c>
      <c r="C18" s="574">
        <v>42304.286999999997</v>
      </c>
      <c r="D18" s="380"/>
      <c r="E18" s="558">
        <f t="shared" si="1"/>
        <v>6</v>
      </c>
      <c r="F18" s="573"/>
    </row>
    <row r="19" spans="1:6" s="227" customFormat="1">
      <c r="A19" s="558">
        <f t="shared" si="0"/>
        <v>7</v>
      </c>
      <c r="B19" s="195" t="s">
        <v>39</v>
      </c>
      <c r="C19" s="574">
        <v>58232.37</v>
      </c>
      <c r="D19" s="380"/>
      <c r="E19" s="558">
        <f t="shared" si="1"/>
        <v>7</v>
      </c>
      <c r="F19" s="573"/>
    </row>
    <row r="20" spans="1:6" s="227" customFormat="1">
      <c r="A20" s="558">
        <f t="shared" si="0"/>
        <v>8</v>
      </c>
      <c r="B20" s="195" t="s">
        <v>40</v>
      </c>
      <c r="C20" s="574">
        <v>94546.960999999996</v>
      </c>
      <c r="D20" s="376"/>
      <c r="E20" s="558">
        <f t="shared" si="1"/>
        <v>8</v>
      </c>
      <c r="F20" s="573"/>
    </row>
    <row r="21" spans="1:6" s="227" customFormat="1">
      <c r="A21" s="558">
        <f t="shared" si="0"/>
        <v>9</v>
      </c>
      <c r="B21" s="195" t="s">
        <v>41</v>
      </c>
      <c r="C21" s="574">
        <v>86995.535000000003</v>
      </c>
      <c r="D21" s="376"/>
      <c r="E21" s="558">
        <f t="shared" si="1"/>
        <v>9</v>
      </c>
      <c r="F21" s="573"/>
    </row>
    <row r="22" spans="1:6" s="227" customFormat="1">
      <c r="A22" s="558">
        <f t="shared" si="0"/>
        <v>10</v>
      </c>
      <c r="B22" s="195" t="s">
        <v>42</v>
      </c>
      <c r="C22" s="574">
        <v>85042.415999999997</v>
      </c>
      <c r="D22" s="376"/>
      <c r="E22" s="558">
        <f t="shared" si="1"/>
        <v>10</v>
      </c>
      <c r="F22" s="573"/>
    </row>
    <row r="23" spans="1:6" s="227" customFormat="1">
      <c r="A23" s="558">
        <f t="shared" si="0"/>
        <v>11</v>
      </c>
      <c r="B23" s="195" t="s">
        <v>43</v>
      </c>
      <c r="C23" s="574">
        <v>78799.035000000003</v>
      </c>
      <c r="D23" s="376"/>
      <c r="E23" s="558">
        <f t="shared" si="1"/>
        <v>11</v>
      </c>
      <c r="F23" s="573"/>
    </row>
    <row r="24" spans="1:6" s="227" customFormat="1">
      <c r="A24" s="558">
        <f t="shared" si="0"/>
        <v>12</v>
      </c>
      <c r="B24" s="195" t="s">
        <v>44</v>
      </c>
      <c r="C24" s="574">
        <v>70306.672000000006</v>
      </c>
      <c r="D24" s="376"/>
      <c r="E24" s="558">
        <f t="shared" si="1"/>
        <v>12</v>
      </c>
      <c r="F24" s="573"/>
    </row>
    <row r="25" spans="1:6" s="227" customFormat="1">
      <c r="A25" s="558">
        <f t="shared" si="0"/>
        <v>13</v>
      </c>
      <c r="B25" s="207" t="str">
        <f>"Dec-"&amp;RIGHT(Automation!$B$3,2)</f>
        <v>Dec-19</v>
      </c>
      <c r="C25" s="579">
        <v>70562.25</v>
      </c>
      <c r="D25" s="561" t="s">
        <v>415</v>
      </c>
      <c r="E25" s="558">
        <f t="shared" si="1"/>
        <v>13</v>
      </c>
      <c r="F25" s="573"/>
    </row>
    <row r="26" spans="1:6" s="227" customFormat="1">
      <c r="A26" s="558">
        <f t="shared" si="0"/>
        <v>14</v>
      </c>
      <c r="B26" s="562"/>
      <c r="C26" s="575"/>
      <c r="D26" s="564"/>
      <c r="E26" s="558">
        <f t="shared" si="1"/>
        <v>14</v>
      </c>
      <c r="F26" s="573"/>
    </row>
    <row r="27" spans="1:6" s="227" customFormat="1">
      <c r="A27" s="558">
        <f t="shared" si="0"/>
        <v>15</v>
      </c>
      <c r="B27" s="209" t="s">
        <v>45</v>
      </c>
      <c r="C27" s="425">
        <f>SUM(C13:C25)</f>
        <v>833663.69299999997</v>
      </c>
      <c r="D27" s="565" t="str">
        <f>"Sum Lines "&amp;A13&amp;" thru "&amp;A25</f>
        <v>Sum Lines 1 thru 13</v>
      </c>
      <c r="E27" s="558">
        <f t="shared" si="1"/>
        <v>15</v>
      </c>
    </row>
    <row r="28" spans="1:6" s="227" customFormat="1">
      <c r="A28" s="558">
        <f t="shared" si="0"/>
        <v>16</v>
      </c>
      <c r="B28" s="216"/>
      <c r="C28" s="276"/>
      <c r="D28" s="561"/>
      <c r="E28" s="558">
        <f t="shared" si="1"/>
        <v>16</v>
      </c>
    </row>
    <row r="29" spans="1:6" s="227" customFormat="1">
      <c r="A29" s="558">
        <f t="shared" si="0"/>
        <v>17</v>
      </c>
      <c r="B29" s="179"/>
      <c r="C29" s="566"/>
      <c r="D29" s="567"/>
      <c r="E29" s="558">
        <f t="shared" si="1"/>
        <v>17</v>
      </c>
    </row>
    <row r="30" spans="1:6" s="227" customFormat="1" ht="18.75">
      <c r="A30" s="558">
        <f t="shared" si="0"/>
        <v>18</v>
      </c>
      <c r="B30" s="209" t="s">
        <v>121</v>
      </c>
      <c r="C30" s="366">
        <f>C27/13</f>
        <v>64127.97638461538</v>
      </c>
      <c r="D30" s="275" t="s">
        <v>1013</v>
      </c>
      <c r="E30" s="558">
        <f t="shared" si="1"/>
        <v>18</v>
      </c>
      <c r="F30" s="573"/>
    </row>
    <row r="31" spans="1:6" s="227" customFormat="1">
      <c r="A31" s="558">
        <f>A30+1</f>
        <v>19</v>
      </c>
      <c r="B31" s="216"/>
      <c r="C31" s="369"/>
      <c r="D31" s="576"/>
      <c r="E31" s="558">
        <f>E30+1</f>
        <v>19</v>
      </c>
    </row>
    <row r="32" spans="1:6" s="227" customFormat="1">
      <c r="A32" s="919"/>
      <c r="C32" s="332"/>
      <c r="D32" s="332"/>
      <c r="E32" s="577"/>
    </row>
    <row r="33" spans="1:5" s="227" customFormat="1">
      <c r="A33" s="578"/>
      <c r="E33" s="577"/>
    </row>
    <row r="34" spans="1:5" s="227" customFormat="1" ht="18.75">
      <c r="A34" s="1618">
        <v>1</v>
      </c>
      <c r="B34" s="1615" t="s">
        <v>1014</v>
      </c>
      <c r="C34" s="332"/>
      <c r="D34" s="332"/>
      <c r="E34" s="577"/>
    </row>
    <row r="35" spans="1:5" s="227" customFormat="1">
      <c r="A35" s="1616"/>
      <c r="B35" s="1615" t="s">
        <v>1015</v>
      </c>
      <c r="C35" s="332"/>
      <c r="D35" s="332"/>
      <c r="E35" s="577"/>
    </row>
    <row r="36" spans="1:5" s="227" customFormat="1">
      <c r="A36" s="1616"/>
      <c r="B36" s="1615" t="s">
        <v>1016</v>
      </c>
      <c r="C36" s="332"/>
      <c r="D36" s="332"/>
      <c r="E36" s="577"/>
    </row>
    <row r="37" spans="1:5" s="227" customFormat="1">
      <c r="A37" s="919"/>
      <c r="C37" s="332"/>
      <c r="D37" s="332"/>
      <c r="E37" s="577"/>
    </row>
    <row r="38" spans="1:5" s="227" customFormat="1">
      <c r="A38" s="919"/>
      <c r="C38" s="332"/>
      <c r="D38" s="332"/>
      <c r="E38" s="577"/>
    </row>
    <row r="39" spans="1:5" s="227" customFormat="1">
      <c r="A39" s="919"/>
      <c r="C39" s="332"/>
      <c r="D39" s="332"/>
      <c r="E39" s="577"/>
    </row>
    <row r="40" spans="1:5" s="227" customFormat="1">
      <c r="A40" s="919"/>
      <c r="C40" s="332"/>
      <c r="D40" s="332"/>
      <c r="E40" s="577"/>
    </row>
    <row r="41" spans="1:5" s="227" customFormat="1">
      <c r="A41" s="919"/>
      <c r="C41" s="332"/>
      <c r="D41" s="332"/>
      <c r="E41" s="577"/>
    </row>
    <row r="42" spans="1:5" s="227" customFormat="1">
      <c r="A42" s="919"/>
      <c r="C42" s="332"/>
      <c r="D42" s="332"/>
      <c r="E42" s="577"/>
    </row>
    <row r="43" spans="1:5" s="227" customFormat="1">
      <c r="A43" s="919"/>
      <c r="C43" s="332"/>
      <c r="D43" s="332"/>
      <c r="E43" s="577"/>
    </row>
    <row r="44" spans="1:5" s="227" customFormat="1">
      <c r="A44" s="919"/>
      <c r="C44" s="332"/>
      <c r="D44" s="332"/>
      <c r="E44" s="577"/>
    </row>
    <row r="45" spans="1:5" s="227" customFormat="1">
      <c r="A45" s="919"/>
      <c r="C45" s="332"/>
      <c r="D45" s="332"/>
      <c r="E45" s="577"/>
    </row>
    <row r="46" spans="1:5" s="227" customFormat="1">
      <c r="A46" s="919"/>
      <c r="C46" s="332"/>
      <c r="D46" s="332"/>
      <c r="E46" s="577"/>
    </row>
    <row r="47" spans="1:5" s="227" customFormat="1">
      <c r="A47" s="919"/>
      <c r="C47" s="332"/>
      <c r="D47" s="332"/>
      <c r="E47" s="577"/>
    </row>
    <row r="48" spans="1:5" s="227" customFormat="1">
      <c r="A48" s="919"/>
      <c r="C48" s="332"/>
      <c r="D48" s="332"/>
      <c r="E48" s="577"/>
    </row>
    <row r="49" spans="1:5" s="227" customFormat="1">
      <c r="A49" s="919"/>
      <c r="C49" s="332"/>
      <c r="D49" s="332"/>
      <c r="E49" s="577"/>
    </row>
    <row r="50" spans="1:5" s="227" customFormat="1">
      <c r="A50" s="919"/>
      <c r="C50" s="332"/>
      <c r="D50" s="332"/>
      <c r="E50" s="577"/>
    </row>
    <row r="51" spans="1:5" s="227" customFormat="1">
      <c r="A51" s="919"/>
      <c r="C51" s="332"/>
      <c r="D51" s="332"/>
      <c r="E51" s="577"/>
    </row>
    <row r="52" spans="1:5" s="227" customFormat="1">
      <c r="A52" s="919"/>
      <c r="C52" s="332"/>
      <c r="D52" s="332"/>
      <c r="E52" s="577"/>
    </row>
    <row r="53" spans="1:5" s="227" customFormat="1">
      <c r="A53" s="919"/>
      <c r="C53" s="332"/>
      <c r="D53" s="332"/>
      <c r="E53" s="577"/>
    </row>
    <row r="54" spans="1:5" s="227" customFormat="1">
      <c r="A54" s="919"/>
      <c r="C54" s="332"/>
      <c r="D54" s="332"/>
      <c r="E54" s="577"/>
    </row>
    <row r="55" spans="1:5" s="227" customFormat="1">
      <c r="A55" s="919"/>
      <c r="C55" s="332"/>
      <c r="D55" s="332"/>
      <c r="E55" s="577"/>
    </row>
    <row r="56" spans="1:5" s="227" customFormat="1">
      <c r="A56" s="919"/>
      <c r="C56" s="332"/>
      <c r="D56" s="332"/>
      <c r="E56" s="577"/>
    </row>
    <row r="57" spans="1:5" s="227" customFormat="1">
      <c r="A57" s="919"/>
      <c r="C57" s="332"/>
      <c r="D57" s="332"/>
      <c r="E57" s="577"/>
    </row>
    <row r="58" spans="1:5" s="227" customFormat="1">
      <c r="A58" s="919"/>
      <c r="C58" s="332"/>
      <c r="D58" s="332"/>
      <c r="E58" s="577"/>
    </row>
    <row r="59" spans="1:5" s="227" customFormat="1">
      <c r="A59" s="919"/>
      <c r="C59" s="332"/>
      <c r="D59" s="332"/>
      <c r="E59" s="577"/>
    </row>
    <row r="60" spans="1:5" s="227" customFormat="1">
      <c r="A60" s="919"/>
      <c r="C60" s="332"/>
      <c r="D60" s="332"/>
      <c r="E60" s="577"/>
    </row>
    <row r="61" spans="1:5" s="227" customFormat="1">
      <c r="A61" s="919"/>
      <c r="C61" s="332"/>
      <c r="D61" s="332"/>
      <c r="E61" s="577"/>
    </row>
    <row r="62" spans="1:5" s="227" customFormat="1">
      <c r="A62" s="919"/>
      <c r="C62" s="332"/>
      <c r="D62" s="332"/>
      <c r="E62" s="577"/>
    </row>
    <row r="63" spans="1:5" s="227" customFormat="1">
      <c r="A63" s="919"/>
      <c r="C63" s="332"/>
      <c r="D63" s="332"/>
      <c r="E63" s="577"/>
    </row>
    <row r="64" spans="1:5" s="227" customFormat="1">
      <c r="A64" s="919"/>
      <c r="C64" s="332"/>
      <c r="D64" s="332"/>
      <c r="E64" s="577"/>
    </row>
    <row r="65" spans="1:5" s="227" customFormat="1">
      <c r="A65" s="919"/>
      <c r="C65" s="332"/>
      <c r="D65" s="332"/>
      <c r="E65" s="577"/>
    </row>
    <row r="66" spans="1:5" s="227" customFormat="1">
      <c r="A66" s="919"/>
      <c r="C66" s="332"/>
      <c r="D66" s="332"/>
      <c r="E66" s="577"/>
    </row>
    <row r="67" spans="1:5" s="227" customFormat="1">
      <c r="A67" s="919"/>
      <c r="C67" s="332"/>
      <c r="D67" s="332"/>
      <c r="E67" s="577"/>
    </row>
    <row r="68" spans="1:5" s="227" customFormat="1">
      <c r="A68" s="919"/>
      <c r="C68" s="332"/>
      <c r="D68" s="332"/>
      <c r="E68" s="577"/>
    </row>
    <row r="69" spans="1:5" s="227" customFormat="1">
      <c r="A69" s="919"/>
      <c r="C69" s="332"/>
      <c r="D69" s="332"/>
      <c r="E69" s="577"/>
    </row>
    <row r="70" spans="1:5" s="227" customFormat="1">
      <c r="A70" s="919"/>
      <c r="C70" s="332"/>
      <c r="D70" s="332"/>
      <c r="E70" s="577"/>
    </row>
    <row r="71" spans="1:5" s="227" customFormat="1">
      <c r="A71" s="919"/>
      <c r="C71" s="332"/>
      <c r="D71" s="332"/>
      <c r="E71" s="577"/>
    </row>
    <row r="72" spans="1:5" s="227" customFormat="1">
      <c r="A72" s="919"/>
      <c r="C72" s="332"/>
      <c r="D72" s="332"/>
      <c r="E72" s="577"/>
    </row>
    <row r="73" spans="1:5" s="227" customFormat="1">
      <c r="A73" s="919"/>
      <c r="C73" s="332"/>
      <c r="D73" s="332"/>
      <c r="E73" s="577"/>
    </row>
    <row r="74" spans="1:5" s="227" customFormat="1">
      <c r="A74" s="919"/>
      <c r="C74" s="332"/>
      <c r="D74" s="332"/>
      <c r="E74" s="577"/>
    </row>
    <row r="75" spans="1:5" s="227" customFormat="1">
      <c r="A75" s="919"/>
      <c r="C75" s="332"/>
      <c r="D75" s="332"/>
      <c r="E75" s="577"/>
    </row>
    <row r="76" spans="1:5" s="227" customFormat="1">
      <c r="A76" s="919"/>
      <c r="C76" s="332"/>
      <c r="D76" s="332"/>
      <c r="E76" s="577"/>
    </row>
    <row r="77" spans="1:5" s="227" customFormat="1">
      <c r="A77" s="919"/>
      <c r="C77" s="332"/>
      <c r="D77" s="332"/>
      <c r="E77" s="577"/>
    </row>
    <row r="78" spans="1:5" s="227" customFormat="1">
      <c r="A78" s="919"/>
      <c r="C78" s="332"/>
      <c r="D78" s="332"/>
      <c r="E78" s="577"/>
    </row>
    <row r="79" spans="1:5" s="227" customFormat="1">
      <c r="A79" s="919"/>
      <c r="C79" s="332"/>
      <c r="D79" s="332"/>
      <c r="E79" s="577"/>
    </row>
    <row r="80" spans="1:5" s="227" customFormat="1">
      <c r="A80" s="919"/>
      <c r="C80" s="332"/>
      <c r="D80" s="332"/>
      <c r="E80" s="577"/>
    </row>
    <row r="81" spans="1:5" s="227" customFormat="1">
      <c r="A81" s="919"/>
      <c r="C81" s="332"/>
      <c r="D81" s="332"/>
      <c r="E81" s="577"/>
    </row>
    <row r="82" spans="1:5" s="227" customFormat="1">
      <c r="A82" s="919"/>
      <c r="C82" s="332"/>
      <c r="D82" s="332"/>
      <c r="E82" s="577"/>
    </row>
    <row r="83" spans="1:5" s="227" customFormat="1">
      <c r="A83" s="919"/>
      <c r="C83" s="332"/>
      <c r="D83" s="332"/>
      <c r="E83" s="577"/>
    </row>
    <row r="84" spans="1:5" s="227" customFormat="1">
      <c r="A84" s="919"/>
      <c r="C84" s="332"/>
      <c r="D84" s="332"/>
      <c r="E84" s="577"/>
    </row>
    <row r="85" spans="1:5" s="227" customFormat="1">
      <c r="A85" s="919"/>
      <c r="C85" s="332"/>
      <c r="D85" s="332"/>
      <c r="E85" s="577"/>
    </row>
    <row r="86" spans="1:5" s="227" customFormat="1">
      <c r="A86" s="919"/>
      <c r="C86" s="332"/>
      <c r="D86" s="332"/>
      <c r="E86" s="577"/>
    </row>
    <row r="87" spans="1:5" s="227" customFormat="1">
      <c r="A87" s="919"/>
      <c r="C87" s="332"/>
      <c r="D87" s="332"/>
      <c r="E87" s="577"/>
    </row>
    <row r="88" spans="1:5" s="227" customFormat="1">
      <c r="A88" s="919"/>
      <c r="C88" s="332"/>
      <c r="D88" s="332"/>
      <c r="E88" s="577"/>
    </row>
    <row r="89" spans="1:5" s="227" customFormat="1">
      <c r="A89" s="919"/>
      <c r="C89" s="332"/>
      <c r="D89" s="332"/>
      <c r="E89" s="577"/>
    </row>
    <row r="90" spans="1:5" s="227" customFormat="1">
      <c r="A90" s="919"/>
      <c r="C90" s="332"/>
      <c r="D90" s="332"/>
      <c r="E90" s="577"/>
    </row>
    <row r="91" spans="1:5" s="227" customFormat="1">
      <c r="A91" s="919"/>
      <c r="C91" s="332"/>
      <c r="D91" s="332"/>
      <c r="E91" s="577"/>
    </row>
    <row r="92" spans="1:5" s="227" customFormat="1">
      <c r="A92" s="919"/>
      <c r="C92" s="332"/>
      <c r="D92" s="332"/>
      <c r="E92" s="577"/>
    </row>
    <row r="93" spans="1:5" s="227" customFormat="1">
      <c r="A93" s="919"/>
      <c r="C93" s="332"/>
      <c r="D93" s="332"/>
      <c r="E93" s="577"/>
    </row>
    <row r="94" spans="1:5" s="227" customFormat="1">
      <c r="A94" s="919"/>
      <c r="C94" s="332"/>
      <c r="D94" s="332"/>
      <c r="E94" s="577"/>
    </row>
    <row r="95" spans="1:5" s="227" customFormat="1">
      <c r="A95" s="919"/>
      <c r="C95" s="332"/>
      <c r="D95" s="332"/>
      <c r="E95" s="577"/>
    </row>
    <row r="96" spans="1:5" s="227" customFormat="1">
      <c r="A96" s="919"/>
      <c r="C96" s="332"/>
      <c r="D96" s="332"/>
      <c r="E96" s="577"/>
    </row>
    <row r="97" spans="1:5" s="227" customFormat="1">
      <c r="A97" s="919"/>
      <c r="C97" s="332"/>
      <c r="D97" s="332"/>
      <c r="E97" s="577"/>
    </row>
    <row r="98" spans="1:5" s="227" customFormat="1">
      <c r="A98" s="919"/>
      <c r="C98" s="332"/>
      <c r="D98" s="332"/>
      <c r="E98" s="577"/>
    </row>
    <row r="99" spans="1:5" s="227" customFormat="1">
      <c r="A99" s="919"/>
      <c r="C99" s="332"/>
      <c r="D99" s="332"/>
      <c r="E99" s="577"/>
    </row>
    <row r="100" spans="1:5" s="227" customFormat="1">
      <c r="A100" s="919"/>
      <c r="C100" s="332"/>
      <c r="D100" s="332"/>
      <c r="E100" s="577"/>
    </row>
    <row r="101" spans="1:5" s="227" customFormat="1">
      <c r="A101" s="919"/>
      <c r="C101" s="332"/>
      <c r="D101" s="332"/>
      <c r="E101" s="577"/>
    </row>
    <row r="102" spans="1:5" s="227" customFormat="1">
      <c r="A102" s="919"/>
      <c r="C102" s="332"/>
      <c r="D102" s="332"/>
      <c r="E102" s="577"/>
    </row>
    <row r="103" spans="1:5" s="227" customFormat="1">
      <c r="A103" s="919"/>
      <c r="C103" s="332"/>
      <c r="D103" s="332"/>
      <c r="E103" s="577"/>
    </row>
    <row r="104" spans="1:5" s="227" customFormat="1">
      <c r="A104" s="919"/>
      <c r="C104" s="332"/>
      <c r="D104" s="332"/>
      <c r="E104" s="577"/>
    </row>
    <row r="105" spans="1:5" s="227" customFormat="1">
      <c r="A105" s="919"/>
      <c r="C105" s="332"/>
      <c r="D105" s="332"/>
      <c r="E105" s="577"/>
    </row>
    <row r="106" spans="1:5" s="227" customFormat="1">
      <c r="A106" s="919"/>
      <c r="C106" s="332"/>
      <c r="D106" s="332"/>
      <c r="E106" s="577"/>
    </row>
    <row r="107" spans="1:5" s="227" customFormat="1">
      <c r="A107" s="919"/>
      <c r="C107" s="332"/>
      <c r="D107" s="332"/>
      <c r="E107" s="577"/>
    </row>
    <row r="108" spans="1:5" s="227" customFormat="1">
      <c r="A108" s="919"/>
      <c r="C108" s="332"/>
      <c r="D108" s="332"/>
      <c r="E108" s="577"/>
    </row>
    <row r="109" spans="1:5" s="227" customFormat="1">
      <c r="A109" s="919"/>
      <c r="C109" s="332"/>
      <c r="D109" s="332"/>
      <c r="E109" s="577"/>
    </row>
    <row r="110" spans="1:5" s="227" customFormat="1">
      <c r="A110" s="919"/>
      <c r="C110" s="332"/>
      <c r="D110" s="332"/>
      <c r="E110" s="577"/>
    </row>
    <row r="111" spans="1:5" s="227" customFormat="1">
      <c r="A111" s="919"/>
      <c r="C111" s="332"/>
      <c r="D111" s="332"/>
      <c r="E111" s="577"/>
    </row>
    <row r="112" spans="1:5" s="227" customFormat="1">
      <c r="A112" s="919"/>
      <c r="C112" s="332"/>
      <c r="D112" s="332"/>
      <c r="E112" s="577"/>
    </row>
    <row r="113" spans="1:5" s="227" customFormat="1">
      <c r="A113" s="919"/>
      <c r="C113" s="332"/>
      <c r="D113" s="332"/>
      <c r="E113" s="577"/>
    </row>
    <row r="114" spans="1:5" s="227" customFormat="1">
      <c r="A114" s="919"/>
      <c r="C114" s="332"/>
      <c r="D114" s="332"/>
      <c r="E114" s="577"/>
    </row>
    <row r="115" spans="1:5" s="227" customFormat="1">
      <c r="A115" s="919"/>
      <c r="C115" s="332"/>
      <c r="D115" s="332"/>
      <c r="E115" s="577"/>
    </row>
    <row r="116" spans="1:5" s="227" customFormat="1">
      <c r="A116" s="919"/>
      <c r="C116" s="332"/>
      <c r="D116" s="332"/>
      <c r="E116" s="577"/>
    </row>
    <row r="117" spans="1:5" s="227" customFormat="1">
      <c r="A117" s="919"/>
      <c r="C117" s="332"/>
      <c r="D117" s="332"/>
      <c r="E117" s="577"/>
    </row>
    <row r="118" spans="1:5" s="227" customFormat="1">
      <c r="A118" s="919"/>
      <c r="C118" s="332"/>
      <c r="D118" s="332"/>
      <c r="E118" s="577"/>
    </row>
    <row r="119" spans="1:5" s="227" customFormat="1">
      <c r="A119" s="919"/>
      <c r="C119" s="332"/>
      <c r="D119" s="332"/>
      <c r="E119" s="577"/>
    </row>
    <row r="120" spans="1:5" s="227" customFormat="1">
      <c r="A120" s="919"/>
      <c r="C120" s="332"/>
      <c r="D120" s="332"/>
      <c r="E120" s="577"/>
    </row>
    <row r="121" spans="1:5" s="227" customFormat="1">
      <c r="A121" s="919"/>
      <c r="C121" s="332"/>
      <c r="D121" s="332"/>
      <c r="E121" s="577"/>
    </row>
    <row r="122" spans="1:5" s="227" customFormat="1">
      <c r="A122" s="919"/>
      <c r="C122" s="332"/>
      <c r="D122" s="332"/>
      <c r="E122" s="577"/>
    </row>
    <row r="123" spans="1:5" s="227" customFormat="1">
      <c r="A123" s="919"/>
      <c r="C123" s="332"/>
      <c r="D123" s="332"/>
      <c r="E123" s="577"/>
    </row>
    <row r="124" spans="1:5" s="227" customFormat="1">
      <c r="A124" s="919"/>
      <c r="C124" s="332"/>
      <c r="D124" s="332"/>
      <c r="E124" s="577"/>
    </row>
    <row r="125" spans="1:5" s="227" customFormat="1">
      <c r="A125" s="919"/>
      <c r="C125" s="332"/>
      <c r="D125" s="332"/>
      <c r="E125" s="577"/>
    </row>
    <row r="126" spans="1:5" s="227" customFormat="1">
      <c r="A126" s="919"/>
      <c r="C126" s="332"/>
      <c r="D126" s="332"/>
      <c r="E126" s="577"/>
    </row>
    <row r="127" spans="1:5" s="227" customFormat="1">
      <c r="A127" s="919"/>
      <c r="C127" s="332"/>
      <c r="D127" s="332"/>
      <c r="E127" s="577"/>
    </row>
    <row r="128" spans="1:5" s="227" customFormat="1">
      <c r="A128" s="919"/>
      <c r="C128" s="332"/>
      <c r="D128" s="332"/>
      <c r="E128" s="577"/>
    </row>
    <row r="129" spans="1:5" s="227" customFormat="1">
      <c r="A129" s="919"/>
      <c r="C129" s="332"/>
      <c r="D129" s="332"/>
      <c r="E129" s="577"/>
    </row>
    <row r="130" spans="1:5" s="227" customFormat="1">
      <c r="A130" s="919"/>
      <c r="C130" s="332"/>
      <c r="D130" s="332"/>
      <c r="E130" s="577"/>
    </row>
    <row r="131" spans="1:5" s="227" customFormat="1">
      <c r="A131" s="919"/>
      <c r="C131" s="332"/>
      <c r="D131" s="332"/>
      <c r="E131" s="577"/>
    </row>
    <row r="132" spans="1:5" s="227" customFormat="1">
      <c r="A132" s="919"/>
      <c r="C132" s="332"/>
      <c r="D132" s="332"/>
      <c r="E132" s="577"/>
    </row>
    <row r="133" spans="1:5" s="227" customFormat="1">
      <c r="A133" s="919"/>
      <c r="C133" s="332"/>
      <c r="D133" s="332"/>
      <c r="E133" s="577"/>
    </row>
    <row r="134" spans="1:5" s="227" customFormat="1">
      <c r="A134" s="919"/>
      <c r="C134" s="332"/>
      <c r="D134" s="332"/>
      <c r="E134" s="577"/>
    </row>
    <row r="135" spans="1:5" s="227" customFormat="1">
      <c r="A135" s="919"/>
      <c r="C135" s="332"/>
      <c r="D135" s="332"/>
      <c r="E135" s="577"/>
    </row>
    <row r="136" spans="1:5" s="227" customFormat="1">
      <c r="A136" s="919"/>
      <c r="C136" s="332"/>
      <c r="D136" s="332"/>
      <c r="E136" s="577"/>
    </row>
    <row r="137" spans="1:5" s="227" customFormat="1">
      <c r="A137" s="919"/>
      <c r="C137" s="332"/>
      <c r="D137" s="332"/>
      <c r="E137" s="577"/>
    </row>
    <row r="138" spans="1:5" s="227" customFormat="1">
      <c r="A138" s="919"/>
      <c r="C138" s="332"/>
      <c r="D138" s="332"/>
      <c r="E138" s="577"/>
    </row>
    <row r="139" spans="1:5" s="227" customFormat="1">
      <c r="A139" s="919"/>
      <c r="C139" s="332"/>
      <c r="D139" s="332"/>
      <c r="E139" s="577"/>
    </row>
    <row r="140" spans="1:5" s="227" customFormat="1">
      <c r="A140" s="919"/>
      <c r="C140" s="332"/>
      <c r="D140" s="332"/>
      <c r="E140" s="577"/>
    </row>
    <row r="141" spans="1:5" s="227" customFormat="1">
      <c r="A141" s="919"/>
      <c r="C141" s="332"/>
      <c r="D141" s="332"/>
      <c r="E141" s="577"/>
    </row>
    <row r="142" spans="1:5" s="227" customFormat="1">
      <c r="A142" s="919"/>
      <c r="C142" s="332"/>
      <c r="D142" s="332"/>
      <c r="E142" s="577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5" orientation="landscape" r:id="rId1"/>
  <headerFooter scaleWithDoc="0">
    <oddFooter>&amp;C&amp;"Times New Roman,Regular"&amp;10&amp;A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H26"/>
  <sheetViews>
    <sheetView zoomScale="80" zoomScaleNormal="80" zoomScalePageLayoutView="80" workbookViewId="0">
      <selection activeCell="C7" sqref="C7"/>
    </sheetView>
  </sheetViews>
  <sheetFormatPr defaultColWidth="8.85546875" defaultRowHeight="15.75"/>
  <cols>
    <col min="1" max="1" width="5.140625" style="187" bestFit="1" customWidth="1"/>
    <col min="2" max="2" width="68.85546875" style="227" customWidth="1"/>
    <col min="3" max="3" width="24" style="227" customWidth="1"/>
    <col min="4" max="4" width="1.5703125" style="227" customWidth="1"/>
    <col min="5" max="5" width="16.85546875" style="227" customWidth="1"/>
    <col min="6" max="6" width="1.5703125" style="227" customWidth="1"/>
    <col min="7" max="7" width="34.5703125" style="227" customWidth="1"/>
    <col min="8" max="8" width="5.140625" style="227" customWidth="1"/>
    <col min="9" max="9" width="8.85546875" style="227"/>
    <col min="10" max="10" width="20.42578125" style="227" bestFit="1" customWidth="1"/>
    <col min="11" max="16384" width="8.85546875" style="227"/>
  </cols>
  <sheetData>
    <row r="1" spans="1:8">
      <c r="A1" s="580"/>
      <c r="E1" s="581"/>
      <c r="F1" s="581"/>
      <c r="G1" s="187"/>
      <c r="H1" s="580"/>
    </row>
    <row r="2" spans="1:8">
      <c r="A2" s="580"/>
      <c r="B2" s="1641" t="s">
        <v>17</v>
      </c>
      <c r="C2" s="1641"/>
      <c r="D2" s="1641"/>
      <c r="E2" s="1641"/>
      <c r="F2" s="1641"/>
      <c r="G2" s="1642"/>
      <c r="H2" s="580"/>
    </row>
    <row r="3" spans="1:8">
      <c r="A3" s="580"/>
      <c r="B3" s="1641" t="s">
        <v>1032</v>
      </c>
      <c r="C3" s="1641"/>
      <c r="D3" s="1641"/>
      <c r="E3" s="1641"/>
      <c r="F3" s="1641"/>
      <c r="G3" s="1642"/>
      <c r="H3" s="580"/>
    </row>
    <row r="4" spans="1:8">
      <c r="A4" s="580"/>
      <c r="B4" s="1641" t="s">
        <v>220</v>
      </c>
      <c r="C4" s="1641"/>
      <c r="D4" s="1641"/>
      <c r="E4" s="1641"/>
      <c r="F4" s="1641"/>
      <c r="G4" s="1642"/>
      <c r="H4" s="580"/>
    </row>
    <row r="5" spans="1:8">
      <c r="A5" s="580"/>
      <c r="B5" s="1644" t="str">
        <f>'A. Sec.1 - Direct Maintenance'!B5</f>
        <v>Base Period &amp; True-Up Period 12 - Months Ending December 31, 2019</v>
      </c>
      <c r="C5" s="1644"/>
      <c r="D5" s="1644"/>
      <c r="E5" s="1644"/>
      <c r="F5" s="1644"/>
      <c r="G5" s="1644"/>
      <c r="H5" s="580"/>
    </row>
    <row r="6" spans="1:8">
      <c r="A6" s="580"/>
      <c r="B6" s="1646" t="s">
        <v>2</v>
      </c>
      <c r="C6" s="1643"/>
      <c r="D6" s="1643"/>
      <c r="E6" s="1643"/>
      <c r="F6" s="1643"/>
      <c r="G6" s="1643"/>
      <c r="H6" s="580"/>
    </row>
    <row r="7" spans="1:8">
      <c r="A7" s="580"/>
      <c r="B7" s="580"/>
      <c r="C7" s="580"/>
      <c r="D7" s="580"/>
      <c r="E7" s="580"/>
      <c r="F7" s="580"/>
      <c r="G7" s="187"/>
      <c r="H7" s="580"/>
    </row>
    <row r="8" spans="1:8">
      <c r="A8" s="580" t="s">
        <v>3</v>
      </c>
      <c r="C8" s="583" t="s">
        <v>472</v>
      </c>
      <c r="E8" s="266"/>
      <c r="F8" s="266"/>
      <c r="G8" s="266"/>
      <c r="H8" s="580" t="s">
        <v>3</v>
      </c>
    </row>
    <row r="9" spans="1:8">
      <c r="A9" s="584" t="s">
        <v>24</v>
      </c>
      <c r="B9" s="227" t="s">
        <v>9</v>
      </c>
      <c r="C9" s="585" t="s">
        <v>473</v>
      </c>
      <c r="E9" s="378" t="s">
        <v>123</v>
      </c>
      <c r="F9" s="586"/>
      <c r="G9" s="378" t="s">
        <v>8</v>
      </c>
      <c r="H9" s="584" t="s">
        <v>24</v>
      </c>
    </row>
    <row r="10" spans="1:8">
      <c r="A10" s="580"/>
      <c r="E10" s="581"/>
      <c r="F10" s="581"/>
      <c r="G10" s="187"/>
      <c r="H10" s="580"/>
    </row>
    <row r="11" spans="1:8">
      <c r="A11" s="580">
        <f>+A10+1</f>
        <v>1</v>
      </c>
      <c r="B11" s="227" t="s">
        <v>221</v>
      </c>
      <c r="C11" s="820" t="s">
        <v>474</v>
      </c>
      <c r="E11" s="588">
        <v>-264.76299999999998</v>
      </c>
      <c r="F11" s="586"/>
      <c r="G11" s="586"/>
      <c r="H11" s="580">
        <f>A11</f>
        <v>1</v>
      </c>
    </row>
    <row r="12" spans="1:8">
      <c r="A12" s="580">
        <f>+A11+1</f>
        <v>2</v>
      </c>
      <c r="C12" s="114"/>
      <c r="E12" s="581"/>
      <c r="F12" s="581"/>
      <c r="G12" s="586"/>
      <c r="H12" s="580">
        <f>+H11+1</f>
        <v>2</v>
      </c>
    </row>
    <row r="13" spans="1:8" s="988" customFormat="1">
      <c r="A13" s="580">
        <f t="shared" ref="A13:A20" si="0">+A12+1</f>
        <v>3</v>
      </c>
      <c r="B13" s="988" t="s">
        <v>222</v>
      </c>
      <c r="C13" s="114"/>
      <c r="E13" s="581"/>
      <c r="F13" s="581"/>
      <c r="G13" s="586"/>
      <c r="H13" s="580">
        <f t="shared" ref="H13:H20" si="1">+H12+1</f>
        <v>3</v>
      </c>
    </row>
    <row r="14" spans="1:8" s="988" customFormat="1">
      <c r="A14" s="580">
        <f t="shared" si="0"/>
        <v>4</v>
      </c>
      <c r="B14" s="232" t="s">
        <v>644</v>
      </c>
      <c r="C14" s="587"/>
      <c r="E14" s="672">
        <f>'AR-1'!G18</f>
        <v>0</v>
      </c>
      <c r="F14" s="581"/>
      <c r="G14" s="292" t="str">
        <f>"AR-1; Line "&amp;'AR-1'!A18&amp;"; Col. c"</f>
        <v>AR-1; Line 7; Col. c</v>
      </c>
      <c r="H14" s="580">
        <f t="shared" si="1"/>
        <v>4</v>
      </c>
    </row>
    <row r="15" spans="1:8" s="988" customFormat="1">
      <c r="A15" s="580">
        <f t="shared" si="0"/>
        <v>5</v>
      </c>
      <c r="B15" s="232" t="s">
        <v>645</v>
      </c>
      <c r="C15" s="587"/>
      <c r="E15" s="672">
        <f>'AR-1'!G25</f>
        <v>0</v>
      </c>
      <c r="F15" s="581"/>
      <c r="G15" s="292" t="str">
        <f>"AR-1; Line "&amp;'AR-1'!A25&amp;"; Col. c"</f>
        <v>AR-1; Line 14; Col. c</v>
      </c>
      <c r="H15" s="580">
        <f t="shared" si="1"/>
        <v>5</v>
      </c>
    </row>
    <row r="16" spans="1:8" s="988" customFormat="1">
      <c r="A16" s="580">
        <f t="shared" si="0"/>
        <v>6</v>
      </c>
      <c r="B16" s="232" t="s">
        <v>646</v>
      </c>
      <c r="C16" s="587"/>
      <c r="E16" s="995">
        <f>'AR-1'!G33</f>
        <v>0</v>
      </c>
      <c r="F16" s="581"/>
      <c r="G16" s="292" t="str">
        <f>"AR-1; Line "&amp;'AR-1'!A33&amp;"; Col. c"</f>
        <v>AR-1; Line 22; Col. c</v>
      </c>
      <c r="H16" s="580">
        <f t="shared" si="1"/>
        <v>6</v>
      </c>
    </row>
    <row r="17" spans="1:8">
      <c r="A17" s="580">
        <f t="shared" si="0"/>
        <v>7</v>
      </c>
      <c r="B17" s="591" t="s">
        <v>833</v>
      </c>
      <c r="C17" s="820"/>
      <c r="E17" s="996">
        <f>SUM(E14:E16)</f>
        <v>0</v>
      </c>
      <c r="F17" s="586"/>
      <c r="G17" s="292" t="str">
        <f>"Sum Lines "&amp;A14&amp;" thru "&amp;A16</f>
        <v>Sum Lines 4 thru 6</v>
      </c>
      <c r="H17" s="580">
        <f t="shared" si="1"/>
        <v>7</v>
      </c>
    </row>
    <row r="18" spans="1:8" s="988" customFormat="1">
      <c r="A18" s="580">
        <f t="shared" si="0"/>
        <v>8</v>
      </c>
      <c r="B18" s="591"/>
      <c r="C18" s="820"/>
      <c r="E18" s="581"/>
      <c r="F18" s="586"/>
      <c r="G18" s="586"/>
      <c r="H18" s="580">
        <f t="shared" si="1"/>
        <v>8</v>
      </c>
    </row>
    <row r="19" spans="1:8" s="988" customFormat="1">
      <c r="A19" s="580">
        <f t="shared" si="0"/>
        <v>9</v>
      </c>
      <c r="B19" s="988" t="s">
        <v>693</v>
      </c>
      <c r="C19" s="820"/>
      <c r="E19" s="995">
        <v>0</v>
      </c>
      <c r="F19" s="586"/>
      <c r="G19" s="292" t="str">
        <f>"Not Applicable to "&amp;Automation!B3&amp;" Base Period"</f>
        <v>Not Applicable to 2019 Base Period</v>
      </c>
      <c r="H19" s="580">
        <f t="shared" si="1"/>
        <v>9</v>
      </c>
    </row>
    <row r="20" spans="1:8">
      <c r="A20" s="580">
        <f t="shared" si="0"/>
        <v>10</v>
      </c>
      <c r="C20" s="114"/>
      <c r="E20" s="586"/>
      <c r="F20" s="586"/>
      <c r="G20" s="586"/>
      <c r="H20" s="580">
        <f t="shared" si="1"/>
        <v>10</v>
      </c>
    </row>
    <row r="21" spans="1:8" ht="19.5" thickBot="1">
      <c r="A21" s="580">
        <f t="shared" ref="A21" si="2">+A20+1</f>
        <v>11</v>
      </c>
      <c r="B21" s="227" t="s">
        <v>834</v>
      </c>
      <c r="E21" s="594">
        <f>E11+E17+E19</f>
        <v>-264.76299999999998</v>
      </c>
      <c r="F21" s="595"/>
      <c r="G21" s="292" t="str">
        <f>"Sum Lines "&amp;A11&amp;", "&amp;A17&amp;", "&amp;A19</f>
        <v>Sum Lines 1, 7, 9</v>
      </c>
      <c r="H21" s="580">
        <f t="shared" ref="H21" si="3">+H20+1</f>
        <v>11</v>
      </c>
    </row>
    <row r="22" spans="1:8" ht="16.5" thickTop="1">
      <c r="A22" s="580"/>
      <c r="H22" s="580"/>
    </row>
    <row r="23" spans="1:8">
      <c r="A23" s="580"/>
      <c r="H23" s="580"/>
    </row>
    <row r="24" spans="1:8" ht="18.75">
      <c r="A24" s="596">
        <v>1</v>
      </c>
      <c r="B24" s="6" t="str">
        <f>"Information on Statement AR is used in Statement AV2, Line "&amp;'Stmt AV'!A86&amp;" to calculate the Cost of Capital Rate."</f>
        <v>Information on Statement AR is used in Statement AV2, Line 7 to calculate the Cost of Capital Rate.</v>
      </c>
    </row>
    <row r="26" spans="1:8">
      <c r="B26" s="988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0" orientation="portrait" r:id="rId1"/>
  <headerFooter scaleWithDoc="0">
    <oddFooter>&amp;C&amp;"Times New Roman,Regular"&amp;10AR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2D2A8-DB07-4474-BA2D-2E48862037CC}">
  <sheetPr>
    <pageSetUpPr fitToPage="1"/>
  </sheetPr>
  <dimension ref="A2:I36"/>
  <sheetViews>
    <sheetView zoomScale="80" zoomScaleNormal="80" zoomScaleSheetLayoutView="70" workbookViewId="0">
      <selection activeCell="C7" sqref="C7"/>
    </sheetView>
  </sheetViews>
  <sheetFormatPr defaultColWidth="8.85546875" defaultRowHeight="15.75"/>
  <cols>
    <col min="1" max="1" width="5.140625" style="587" customWidth="1"/>
    <col min="2" max="2" width="50.85546875" style="397" customWidth="1"/>
    <col min="3" max="3" width="16.85546875" style="397" customWidth="1"/>
    <col min="4" max="4" width="1.5703125" style="397" customWidth="1"/>
    <col min="5" max="5" width="16.85546875" style="397" customWidth="1"/>
    <col min="6" max="6" width="1.5703125" style="397" customWidth="1"/>
    <col min="7" max="7" width="23.42578125" style="397" bestFit="1" customWidth="1"/>
    <col min="8" max="8" width="62.5703125" style="397" customWidth="1"/>
    <col min="9" max="9" width="5.140625" style="587" customWidth="1"/>
    <col min="10" max="16384" width="8.85546875" style="397"/>
  </cols>
  <sheetData>
    <row r="2" spans="1:9">
      <c r="B2" s="1635" t="s">
        <v>17</v>
      </c>
      <c r="C2" s="1635"/>
      <c r="D2" s="1635"/>
      <c r="E2" s="1635"/>
      <c r="F2" s="1635"/>
      <c r="G2" s="1635"/>
      <c r="H2" s="1635"/>
    </row>
    <row r="3" spans="1:9">
      <c r="B3" s="1635" t="s">
        <v>835</v>
      </c>
      <c r="C3" s="1635"/>
      <c r="D3" s="1635"/>
      <c r="E3" s="1635"/>
      <c r="F3" s="1635"/>
      <c r="G3" s="1635"/>
      <c r="H3" s="1635"/>
    </row>
    <row r="4" spans="1:9" ht="18.75">
      <c r="B4" s="1635" t="s">
        <v>964</v>
      </c>
      <c r="C4" s="1635"/>
      <c r="D4" s="1635"/>
      <c r="E4" s="1635"/>
      <c r="F4" s="1635"/>
      <c r="G4" s="1635"/>
      <c r="H4" s="1635"/>
    </row>
    <row r="5" spans="1:9">
      <c r="B5" s="1635" t="str">
        <f>"Base Period 12 Months Ending December 31, "&amp;Automation!$B$3</f>
        <v>Base Period 12 Months Ending December 31, 2019</v>
      </c>
      <c r="C5" s="1635"/>
      <c r="D5" s="1635"/>
      <c r="E5" s="1635"/>
      <c r="F5" s="1635"/>
      <c r="G5" s="1635"/>
      <c r="H5" s="1635"/>
    </row>
    <row r="6" spans="1:9" ht="15.6" customHeight="1">
      <c r="B6" s="1652" t="s">
        <v>2</v>
      </c>
      <c r="C6" s="1652"/>
      <c r="D6" s="1652"/>
      <c r="E6" s="1652"/>
      <c r="F6" s="1652"/>
      <c r="G6" s="1652"/>
      <c r="H6" s="1652"/>
    </row>
    <row r="8" spans="1:9">
      <c r="B8" s="1409"/>
      <c r="C8" s="1408" t="s">
        <v>4</v>
      </c>
      <c r="D8" s="1408"/>
      <c r="E8" s="1408" t="s">
        <v>5</v>
      </c>
      <c r="F8" s="1408"/>
      <c r="G8" s="1410" t="s">
        <v>836</v>
      </c>
      <c r="H8" s="1408"/>
    </row>
    <row r="9" spans="1:9">
      <c r="A9" s="587" t="s">
        <v>3</v>
      </c>
      <c r="B9" s="1409"/>
      <c r="C9" s="1408" t="s">
        <v>837</v>
      </c>
      <c r="D9" s="1408"/>
      <c r="E9" s="1408" t="s">
        <v>837</v>
      </c>
      <c r="F9" s="1408"/>
      <c r="G9" s="1408"/>
      <c r="H9" s="1408"/>
      <c r="I9" s="587" t="s">
        <v>3</v>
      </c>
    </row>
    <row r="10" spans="1:9">
      <c r="A10" s="445" t="s">
        <v>24</v>
      </c>
      <c r="B10" s="1412" t="s">
        <v>71</v>
      </c>
      <c r="C10" s="1413" t="s">
        <v>838</v>
      </c>
      <c r="D10" s="1413"/>
      <c r="E10" s="1413" t="s">
        <v>839</v>
      </c>
      <c r="F10" s="1413"/>
      <c r="G10" s="1412" t="s">
        <v>30</v>
      </c>
      <c r="H10" s="1412" t="s">
        <v>8</v>
      </c>
      <c r="I10" s="445" t="s">
        <v>24</v>
      </c>
    </row>
    <row r="11" spans="1:9">
      <c r="A11" s="445"/>
      <c r="B11" s="433"/>
      <c r="C11" s="1414"/>
      <c r="D11" s="1414"/>
      <c r="E11" s="1414"/>
      <c r="F11" s="1414"/>
      <c r="G11" s="793"/>
      <c r="H11" s="793"/>
      <c r="I11" s="445"/>
    </row>
    <row r="12" spans="1:9">
      <c r="A12" s="587">
        <v>1</v>
      </c>
      <c r="B12" s="701" t="s">
        <v>673</v>
      </c>
      <c r="C12" s="1415"/>
      <c r="D12" s="1415"/>
      <c r="E12" s="1415"/>
      <c r="F12" s="1415"/>
      <c r="G12" s="791"/>
      <c r="H12" s="791"/>
      <c r="I12" s="587">
        <f>A12</f>
        <v>1</v>
      </c>
    </row>
    <row r="13" spans="1:9">
      <c r="A13" s="587">
        <f>A12+1</f>
        <v>2</v>
      </c>
      <c r="B13" s="701" t="s">
        <v>840</v>
      </c>
      <c r="C13" s="780">
        <v>0</v>
      </c>
      <c r="D13" s="780"/>
      <c r="E13" s="780">
        <v>0</v>
      </c>
      <c r="F13" s="1416"/>
      <c r="G13" s="637">
        <f>SUM(C13:E13)</f>
        <v>0</v>
      </c>
      <c r="H13" s="676"/>
      <c r="I13" s="587">
        <f>I12+1</f>
        <v>2</v>
      </c>
    </row>
    <row r="14" spans="1:9">
      <c r="A14" s="587">
        <f t="shared" ref="A14:A33" si="0">A13+1</f>
        <v>3</v>
      </c>
      <c r="B14" s="701" t="s">
        <v>841</v>
      </c>
      <c r="C14" s="812">
        <v>0</v>
      </c>
      <c r="D14" s="812"/>
      <c r="E14" s="812">
        <v>0</v>
      </c>
      <c r="F14" s="812"/>
      <c r="G14" s="290">
        <f>SUM(C14:E14)</f>
        <v>0</v>
      </c>
      <c r="H14" s="676"/>
      <c r="I14" s="587">
        <f t="shared" ref="I14:I33" si="1">I13+1</f>
        <v>3</v>
      </c>
    </row>
    <row r="15" spans="1:9">
      <c r="A15" s="587">
        <f t="shared" si="0"/>
        <v>4</v>
      </c>
      <c r="B15" s="701" t="s">
        <v>842</v>
      </c>
      <c r="C15" s="812">
        <v>0</v>
      </c>
      <c r="D15" s="812"/>
      <c r="E15" s="812">
        <v>0</v>
      </c>
      <c r="F15" s="812"/>
      <c r="G15" s="290">
        <f>SUM(C15:E15)</f>
        <v>0</v>
      </c>
      <c r="H15" s="676"/>
      <c r="I15" s="587">
        <f t="shared" si="1"/>
        <v>4</v>
      </c>
    </row>
    <row r="16" spans="1:9">
      <c r="A16" s="587">
        <f t="shared" si="0"/>
        <v>5</v>
      </c>
      <c r="B16" s="701"/>
      <c r="C16" s="812">
        <v>0</v>
      </c>
      <c r="D16" s="812"/>
      <c r="E16" s="812">
        <v>0</v>
      </c>
      <c r="F16" s="290"/>
      <c r="G16" s="290">
        <f>SUM(C16:E16)</f>
        <v>0</v>
      </c>
      <c r="H16" s="290"/>
      <c r="I16" s="587">
        <f t="shared" si="1"/>
        <v>5</v>
      </c>
    </row>
    <row r="17" spans="1:9">
      <c r="A17" s="587">
        <f t="shared" si="0"/>
        <v>6</v>
      </c>
      <c r="C17" s="290">
        <v>0</v>
      </c>
      <c r="D17" s="290"/>
      <c r="E17" s="290">
        <v>0</v>
      </c>
      <c r="F17" s="290"/>
      <c r="G17" s="290">
        <f>SUM(C17:E17)</f>
        <v>0</v>
      </c>
      <c r="H17" s="290"/>
      <c r="I17" s="587">
        <f t="shared" si="1"/>
        <v>6</v>
      </c>
    </row>
    <row r="18" spans="1:9" ht="16.5" thickBot="1">
      <c r="A18" s="587">
        <f t="shared" si="0"/>
        <v>7</v>
      </c>
      <c r="B18" s="1121" t="s">
        <v>675</v>
      </c>
      <c r="C18" s="1417">
        <f t="shared" ref="C18:G18" si="2">SUM(C13:C17)</f>
        <v>0</v>
      </c>
      <c r="D18" s="543"/>
      <c r="E18" s="1417">
        <f>SUM(E13:E17)</f>
        <v>0</v>
      </c>
      <c r="F18" s="290"/>
      <c r="G18" s="1417">
        <f t="shared" si="2"/>
        <v>0</v>
      </c>
      <c r="H18" s="1418" t="str">
        <f>"Sum Lines "&amp;A13&amp;" thru "&amp;A17</f>
        <v>Sum Lines 2 thru 6</v>
      </c>
      <c r="I18" s="587">
        <f t="shared" si="1"/>
        <v>7</v>
      </c>
    </row>
    <row r="19" spans="1:9" ht="16.5" thickTop="1">
      <c r="A19" s="587">
        <f t="shared" si="0"/>
        <v>8</v>
      </c>
      <c r="C19" s="1419"/>
      <c r="D19" s="1419"/>
      <c r="E19" s="1419"/>
      <c r="F19" s="1419"/>
      <c r="G19" s="1419"/>
      <c r="H19" s="1419"/>
      <c r="I19" s="587">
        <f t="shared" si="1"/>
        <v>8</v>
      </c>
    </row>
    <row r="20" spans="1:9">
      <c r="A20" s="587">
        <f t="shared" si="0"/>
        <v>9</v>
      </c>
      <c r="B20" s="701" t="s">
        <v>674</v>
      </c>
      <c r="C20" s="1415"/>
      <c r="D20" s="1415"/>
      <c r="E20" s="1415"/>
      <c r="F20" s="1415"/>
      <c r="G20" s="791"/>
      <c r="H20" s="791"/>
      <c r="I20" s="587">
        <f t="shared" si="1"/>
        <v>9</v>
      </c>
    </row>
    <row r="21" spans="1:9">
      <c r="A21" s="587">
        <f t="shared" si="0"/>
        <v>10</v>
      </c>
      <c r="B21" s="1420" t="s">
        <v>843</v>
      </c>
      <c r="C21" s="637">
        <v>0</v>
      </c>
      <c r="D21" s="637"/>
      <c r="E21" s="637">
        <v>0</v>
      </c>
      <c r="F21" s="637"/>
      <c r="G21" s="637">
        <f>SUM(C21:E21)</f>
        <v>0</v>
      </c>
      <c r="H21" s="676"/>
      <c r="I21" s="587">
        <f t="shared" si="1"/>
        <v>10</v>
      </c>
    </row>
    <row r="22" spans="1:9">
      <c r="A22" s="587">
        <f t="shared" si="0"/>
        <v>11</v>
      </c>
      <c r="C22" s="290">
        <v>0</v>
      </c>
      <c r="D22" s="290"/>
      <c r="E22" s="290">
        <v>0</v>
      </c>
      <c r="F22" s="290"/>
      <c r="G22" s="290">
        <f>SUM(C22:E22)</f>
        <v>0</v>
      </c>
      <c r="H22" s="290"/>
      <c r="I22" s="587">
        <f t="shared" si="1"/>
        <v>11</v>
      </c>
    </row>
    <row r="23" spans="1:9">
      <c r="A23" s="587">
        <f t="shared" si="0"/>
        <v>12</v>
      </c>
      <c r="C23" s="290">
        <v>0</v>
      </c>
      <c r="D23" s="290"/>
      <c r="E23" s="290">
        <v>0</v>
      </c>
      <c r="F23" s="290"/>
      <c r="G23" s="290">
        <f>SUM(C23:E23)</f>
        <v>0</v>
      </c>
      <c r="H23" s="290"/>
      <c r="I23" s="587">
        <f t="shared" si="1"/>
        <v>12</v>
      </c>
    </row>
    <row r="24" spans="1:9">
      <c r="A24" s="587">
        <f t="shared" si="0"/>
        <v>13</v>
      </c>
      <c r="C24" s="290">
        <v>0</v>
      </c>
      <c r="D24" s="290"/>
      <c r="E24" s="290">
        <v>0</v>
      </c>
      <c r="F24" s="290"/>
      <c r="G24" s="290">
        <f>SUM(C24:E24)</f>
        <v>0</v>
      </c>
      <c r="H24" s="290"/>
      <c r="I24" s="587">
        <f t="shared" si="1"/>
        <v>13</v>
      </c>
    </row>
    <row r="25" spans="1:9" ht="16.5" thickBot="1">
      <c r="A25" s="587">
        <f t="shared" si="0"/>
        <v>14</v>
      </c>
      <c r="B25" s="1121" t="s">
        <v>676</v>
      </c>
      <c r="C25" s="1417">
        <f>SUM(C21:C24)</f>
        <v>0</v>
      </c>
      <c r="D25" s="543"/>
      <c r="E25" s="1417">
        <f>SUM(E21:E24)</f>
        <v>0</v>
      </c>
      <c r="F25" s="290"/>
      <c r="G25" s="1417">
        <f>SUM(G21:G24)</f>
        <v>0</v>
      </c>
      <c r="H25" s="1418" t="str">
        <f>"Sum Lines "&amp;A21&amp;" thru "&amp;A24</f>
        <v>Sum Lines 10 thru 13</v>
      </c>
      <c r="I25" s="587">
        <f t="shared" si="1"/>
        <v>14</v>
      </c>
    </row>
    <row r="26" spans="1:9" ht="16.5" thickTop="1">
      <c r="A26" s="587">
        <f t="shared" si="0"/>
        <v>15</v>
      </c>
      <c r="I26" s="587">
        <f t="shared" si="1"/>
        <v>15</v>
      </c>
    </row>
    <row r="27" spans="1:9">
      <c r="A27" s="587">
        <f t="shared" si="0"/>
        <v>16</v>
      </c>
      <c r="B27" s="701" t="s">
        <v>844</v>
      </c>
      <c r="C27" s="1415"/>
      <c r="D27" s="1415"/>
      <c r="E27" s="1415"/>
      <c r="F27" s="1415"/>
      <c r="G27" s="791"/>
      <c r="H27" s="587"/>
      <c r="I27" s="587">
        <f t="shared" si="1"/>
        <v>16</v>
      </c>
    </row>
    <row r="28" spans="1:9">
      <c r="A28" s="587">
        <f t="shared" si="0"/>
        <v>17</v>
      </c>
      <c r="B28" s="701" t="s">
        <v>845</v>
      </c>
      <c r="C28" s="780">
        <v>0</v>
      </c>
      <c r="D28" s="780"/>
      <c r="E28" s="780">
        <v>0</v>
      </c>
      <c r="F28" s="1416"/>
      <c r="G28" s="637">
        <f>SUM(C28:E28)</f>
        <v>0</v>
      </c>
      <c r="H28" s="676"/>
      <c r="I28" s="587">
        <f t="shared" si="1"/>
        <v>17</v>
      </c>
    </row>
    <row r="29" spans="1:9">
      <c r="A29" s="587">
        <f t="shared" si="0"/>
        <v>18</v>
      </c>
      <c r="B29" s="701"/>
      <c r="C29" s="812">
        <v>0</v>
      </c>
      <c r="D29" s="812"/>
      <c r="E29" s="812">
        <v>0</v>
      </c>
      <c r="F29" s="290"/>
      <c r="G29" s="290">
        <f>SUM(C29:E29)</f>
        <v>0</v>
      </c>
      <c r="H29" s="587"/>
      <c r="I29" s="587">
        <f t="shared" si="1"/>
        <v>18</v>
      </c>
    </row>
    <row r="30" spans="1:9">
      <c r="A30" s="587">
        <f t="shared" si="0"/>
        <v>19</v>
      </c>
      <c r="B30" s="701"/>
      <c r="C30" s="290">
        <v>0</v>
      </c>
      <c r="D30" s="290"/>
      <c r="E30" s="290">
        <v>0</v>
      </c>
      <c r="F30" s="290"/>
      <c r="G30" s="290">
        <f>SUM(C30:E30)</f>
        <v>0</v>
      </c>
      <c r="H30" s="290"/>
      <c r="I30" s="587">
        <f t="shared" si="1"/>
        <v>19</v>
      </c>
    </row>
    <row r="31" spans="1:9">
      <c r="A31" s="587">
        <f t="shared" si="0"/>
        <v>20</v>
      </c>
      <c r="B31" s="701"/>
      <c r="C31" s="290">
        <v>0</v>
      </c>
      <c r="D31" s="290"/>
      <c r="E31" s="290">
        <v>0</v>
      </c>
      <c r="F31" s="290"/>
      <c r="G31" s="290">
        <f>SUM(C31:E31)</f>
        <v>0</v>
      </c>
      <c r="H31" s="290"/>
      <c r="I31" s="587">
        <f t="shared" si="1"/>
        <v>20</v>
      </c>
    </row>
    <row r="32" spans="1:9">
      <c r="A32" s="587">
        <f t="shared" si="0"/>
        <v>21</v>
      </c>
      <c r="B32" s="701"/>
      <c r="C32" s="290">
        <v>0</v>
      </c>
      <c r="D32" s="290"/>
      <c r="E32" s="290">
        <v>0</v>
      </c>
      <c r="F32" s="290"/>
      <c r="G32" s="290">
        <f>SUM(C32:E32)</f>
        <v>0</v>
      </c>
      <c r="H32" s="290"/>
      <c r="I32" s="587">
        <f t="shared" si="1"/>
        <v>21</v>
      </c>
    </row>
    <row r="33" spans="1:9" ht="16.5" thickBot="1">
      <c r="A33" s="587">
        <f t="shared" si="0"/>
        <v>22</v>
      </c>
      <c r="B33" s="1121" t="s">
        <v>846</v>
      </c>
      <c r="C33" s="1417">
        <f t="shared" ref="C33" si="3">SUM(C28:C32)</f>
        <v>0</v>
      </c>
      <c r="D33" s="543"/>
      <c r="E33" s="1417">
        <f>SUM(E28:E32)</f>
        <v>0</v>
      </c>
      <c r="F33" s="290"/>
      <c r="G33" s="1417">
        <f>SUM(G28:G32)</f>
        <v>0</v>
      </c>
      <c r="H33" s="1418" t="str">
        <f>"Sum Lines "&amp;A28&amp;" thru "&amp;A32</f>
        <v>Sum Lines 17 thru 21</v>
      </c>
      <c r="I33" s="587">
        <f t="shared" si="1"/>
        <v>22</v>
      </c>
    </row>
    <row r="34" spans="1:9" ht="16.5" thickTop="1"/>
    <row r="35" spans="1:9" s="1554" customFormat="1">
      <c r="A35" s="587"/>
      <c r="I35" s="587"/>
    </row>
    <row r="36" spans="1:9" ht="18.75">
      <c r="A36" s="633">
        <v>1</v>
      </c>
      <c r="B36" s="1553" t="s">
        <v>965</v>
      </c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69" orientation="landscape" r:id="rId1"/>
  <headerFooter scaleWithDoc="0">
    <oddFooter>&amp;C&amp;"Times New Roman,Regular"&amp;10&amp;A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M158"/>
  <sheetViews>
    <sheetView zoomScale="80" zoomScaleNormal="80" zoomScalePageLayoutView="50" workbookViewId="0">
      <selection activeCell="C7" sqref="C7"/>
    </sheetView>
  </sheetViews>
  <sheetFormatPr defaultColWidth="8.85546875" defaultRowHeight="15.75"/>
  <cols>
    <col min="1" max="1" width="5.140625" style="587" customWidth="1"/>
    <col min="2" max="2" width="55.42578125" style="397" customWidth="1"/>
    <col min="3" max="5" width="15.5703125" style="397" customWidth="1"/>
    <col min="6" max="6" width="1.5703125" style="397" customWidth="1"/>
    <col min="7" max="7" width="16.85546875" style="397" customWidth="1"/>
    <col min="8" max="8" width="1.5703125" style="397" customWidth="1"/>
    <col min="9" max="9" width="38.85546875" style="719" customWidth="1"/>
    <col min="10" max="10" width="5.140625" style="397" customWidth="1"/>
    <col min="11" max="11" width="27" style="397" bestFit="1" customWidth="1"/>
    <col min="12" max="12" width="15" style="397" bestFit="1" customWidth="1"/>
    <col min="13" max="13" width="10.42578125" style="397" bestFit="1" customWidth="1"/>
    <col min="14" max="16384" width="8.85546875" style="397"/>
  </cols>
  <sheetData>
    <row r="1" spans="1:10">
      <c r="A1" s="789"/>
      <c r="G1" s="671"/>
      <c r="H1" s="671"/>
      <c r="I1" s="790"/>
      <c r="J1" s="583"/>
    </row>
    <row r="2" spans="1:10">
      <c r="B2" s="1650" t="s">
        <v>0</v>
      </c>
      <c r="C2" s="1650"/>
      <c r="D2" s="1650"/>
      <c r="E2" s="1650"/>
      <c r="F2" s="1650"/>
      <c r="G2" s="1650"/>
      <c r="H2" s="1650"/>
      <c r="I2" s="1635"/>
      <c r="J2" s="587"/>
    </row>
    <row r="3" spans="1:10">
      <c r="B3" s="1650" t="s">
        <v>224</v>
      </c>
      <c r="C3" s="1650"/>
      <c r="D3" s="1650"/>
      <c r="E3" s="1650"/>
      <c r="F3" s="1650"/>
      <c r="G3" s="1650"/>
      <c r="H3" s="1650"/>
      <c r="I3" s="1635"/>
      <c r="J3" s="587"/>
    </row>
    <row r="4" spans="1:10">
      <c r="B4" s="1650" t="s">
        <v>225</v>
      </c>
      <c r="C4" s="1650"/>
      <c r="D4" s="1650"/>
      <c r="E4" s="1650"/>
      <c r="F4" s="1650"/>
      <c r="G4" s="1650"/>
      <c r="H4" s="1650"/>
      <c r="I4" s="1635"/>
      <c r="J4" s="587"/>
    </row>
    <row r="5" spans="1:10">
      <c r="B5" s="1651" t="str">
        <f>'A. Sec.1 - Direct Maintenance'!B5</f>
        <v>Base Period &amp; True-Up Period 12 - Months Ending December 31, 2019</v>
      </c>
      <c r="C5" s="1651"/>
      <c r="D5" s="1651"/>
      <c r="E5" s="1651"/>
      <c r="F5" s="1651"/>
      <c r="G5" s="1651"/>
      <c r="H5" s="1651"/>
      <c r="I5" s="1637"/>
      <c r="J5" s="587"/>
    </row>
    <row r="6" spans="1:10">
      <c r="B6" s="1652" t="s">
        <v>2</v>
      </c>
      <c r="C6" s="1653"/>
      <c r="D6" s="1653"/>
      <c r="E6" s="1653"/>
      <c r="F6" s="1653"/>
      <c r="G6" s="1653"/>
      <c r="H6" s="1653"/>
      <c r="I6" s="1653"/>
      <c r="J6" s="587"/>
    </row>
    <row r="7" spans="1:10">
      <c r="B7" s="583"/>
      <c r="C7" s="583"/>
      <c r="D7" s="583"/>
      <c r="E7" s="583"/>
      <c r="F7" s="583"/>
      <c r="G7" s="583"/>
      <c r="H7" s="583"/>
      <c r="I7" s="791"/>
      <c r="J7" s="587"/>
    </row>
    <row r="8" spans="1:10">
      <c r="A8" s="587" t="s">
        <v>3</v>
      </c>
      <c r="B8" s="1188"/>
      <c r="C8" s="1188"/>
      <c r="D8" s="1188"/>
      <c r="E8" s="583" t="s">
        <v>472</v>
      </c>
      <c r="F8" s="1188"/>
      <c r="G8" s="1188"/>
      <c r="H8" s="1188"/>
      <c r="I8" s="791"/>
      <c r="J8" s="587" t="s">
        <v>3</v>
      </c>
    </row>
    <row r="9" spans="1:10">
      <c r="A9" s="445" t="s">
        <v>24</v>
      </c>
      <c r="B9" s="583"/>
      <c r="C9" s="583"/>
      <c r="D9" s="583"/>
      <c r="E9" s="585" t="s">
        <v>473</v>
      </c>
      <c r="F9" s="583"/>
      <c r="G9" s="666" t="s">
        <v>123</v>
      </c>
      <c r="H9" s="1188"/>
      <c r="I9" s="792" t="s">
        <v>8</v>
      </c>
      <c r="J9" s="445" t="s">
        <v>24</v>
      </c>
    </row>
    <row r="10" spans="1:10">
      <c r="B10" s="583"/>
      <c r="C10" s="583"/>
      <c r="D10" s="583"/>
      <c r="E10" s="583"/>
      <c r="F10" s="583"/>
      <c r="G10" s="583"/>
      <c r="H10" s="583"/>
      <c r="I10" s="793"/>
      <c r="J10" s="587"/>
    </row>
    <row r="11" spans="1:10">
      <c r="A11" s="587">
        <v>1</v>
      </c>
      <c r="B11" s="759" t="s">
        <v>226</v>
      </c>
      <c r="I11" s="791"/>
      <c r="J11" s="587">
        <f>A11</f>
        <v>1</v>
      </c>
    </row>
    <row r="12" spans="1:10">
      <c r="A12" s="587">
        <f>A11+1</f>
        <v>2</v>
      </c>
      <c r="B12" s="665" t="s">
        <v>502</v>
      </c>
      <c r="E12" s="820" t="s">
        <v>503</v>
      </c>
      <c r="G12" s="669">
        <v>5140552</v>
      </c>
      <c r="H12" s="1188"/>
      <c r="I12" s="795"/>
      <c r="J12" s="587">
        <f>J11+1</f>
        <v>2</v>
      </c>
    </row>
    <row r="13" spans="1:10">
      <c r="A13" s="587">
        <f t="shared" ref="A13:A65" si="0">A12+1</f>
        <v>3</v>
      </c>
      <c r="B13" s="665" t="s">
        <v>504</v>
      </c>
      <c r="E13" s="820" t="s">
        <v>505</v>
      </c>
      <c r="G13" s="672">
        <v>0</v>
      </c>
      <c r="H13" s="1188"/>
      <c r="I13" s="795"/>
      <c r="J13" s="587">
        <f t="shared" ref="J13:J65" si="1">J12+1</f>
        <v>3</v>
      </c>
    </row>
    <row r="14" spans="1:10">
      <c r="A14" s="587">
        <f t="shared" si="0"/>
        <v>4</v>
      </c>
      <c r="B14" s="665" t="s">
        <v>506</v>
      </c>
      <c r="E14" s="820" t="s">
        <v>507</v>
      </c>
      <c r="G14" s="672">
        <v>0</v>
      </c>
      <c r="H14" s="1188"/>
      <c r="I14" s="795"/>
      <c r="J14" s="587">
        <f t="shared" si="1"/>
        <v>4</v>
      </c>
    </row>
    <row r="15" spans="1:10">
      <c r="A15" s="587">
        <f t="shared" si="0"/>
        <v>5</v>
      </c>
      <c r="B15" s="665" t="s">
        <v>508</v>
      </c>
      <c r="E15" s="820" t="s">
        <v>509</v>
      </c>
      <c r="G15" s="672">
        <v>0</v>
      </c>
      <c r="H15" s="1188"/>
      <c r="I15" s="795"/>
      <c r="J15" s="587">
        <f t="shared" si="1"/>
        <v>5</v>
      </c>
    </row>
    <row r="16" spans="1:10">
      <c r="A16" s="587">
        <f t="shared" si="0"/>
        <v>6</v>
      </c>
      <c r="B16" s="665" t="s">
        <v>510</v>
      </c>
      <c r="E16" s="820" t="s">
        <v>511</v>
      </c>
      <c r="G16" s="672">
        <v>-12166.400009999999</v>
      </c>
      <c r="H16" s="1188"/>
      <c r="I16" s="795"/>
      <c r="J16" s="587">
        <f t="shared" si="1"/>
        <v>6</v>
      </c>
    </row>
    <row r="17" spans="1:10">
      <c r="A17" s="587">
        <f t="shared" si="0"/>
        <v>7</v>
      </c>
      <c r="B17" s="665" t="s">
        <v>512</v>
      </c>
      <c r="C17" s="665"/>
      <c r="D17" s="665"/>
      <c r="E17" s="665"/>
      <c r="F17" s="665"/>
      <c r="G17" s="760">
        <f>SUM(G12:G16)</f>
        <v>5128385.59999</v>
      </c>
      <c r="H17" s="631"/>
      <c r="I17" s="791" t="str">
        <f>"Sum Lines "&amp;A12&amp;" thru "&amp;A16</f>
        <v>Sum Lines 2 thru 6</v>
      </c>
      <c r="J17" s="587">
        <f t="shared" si="1"/>
        <v>7</v>
      </c>
    </row>
    <row r="18" spans="1:10">
      <c r="A18" s="587">
        <f t="shared" si="0"/>
        <v>8</v>
      </c>
      <c r="B18" s="665"/>
      <c r="I18" s="791"/>
      <c r="J18" s="587">
        <f t="shared" si="1"/>
        <v>8</v>
      </c>
    </row>
    <row r="19" spans="1:10">
      <c r="A19" s="587">
        <f t="shared" si="0"/>
        <v>9</v>
      </c>
      <c r="B19" s="794" t="s">
        <v>227</v>
      </c>
      <c r="G19" s="290"/>
      <c r="H19" s="290"/>
      <c r="I19" s="791"/>
      <c r="J19" s="587">
        <f t="shared" si="1"/>
        <v>9</v>
      </c>
    </row>
    <row r="20" spans="1:10">
      <c r="A20" s="587">
        <f t="shared" si="0"/>
        <v>10</v>
      </c>
      <c r="B20" s="397" t="s">
        <v>513</v>
      </c>
      <c r="E20" s="587" t="s">
        <v>514</v>
      </c>
      <c r="G20" s="669">
        <v>213846.54399999999</v>
      </c>
      <c r="H20" s="1188"/>
      <c r="I20" s="795"/>
      <c r="J20" s="587">
        <f t="shared" si="1"/>
        <v>10</v>
      </c>
    </row>
    <row r="21" spans="1:10">
      <c r="A21" s="587">
        <f t="shared" si="0"/>
        <v>11</v>
      </c>
      <c r="B21" s="397" t="s">
        <v>515</v>
      </c>
      <c r="E21" s="587" t="s">
        <v>516</v>
      </c>
      <c r="G21" s="672">
        <v>3709.4806400000002</v>
      </c>
      <c r="H21" s="1188"/>
      <c r="I21" s="795"/>
      <c r="J21" s="587">
        <f t="shared" si="1"/>
        <v>11</v>
      </c>
    </row>
    <row r="22" spans="1:10">
      <c r="A22" s="587">
        <f t="shared" si="0"/>
        <v>12</v>
      </c>
      <c r="B22" s="397" t="s">
        <v>517</v>
      </c>
      <c r="E22" s="587" t="s">
        <v>518</v>
      </c>
      <c r="G22" s="672">
        <v>1831.0913999999998</v>
      </c>
      <c r="H22" s="1188"/>
      <c r="I22" s="795"/>
      <c r="J22" s="587">
        <f t="shared" si="1"/>
        <v>12</v>
      </c>
    </row>
    <row r="23" spans="1:10">
      <c r="A23" s="587">
        <f t="shared" si="0"/>
        <v>13</v>
      </c>
      <c r="B23" s="397" t="s">
        <v>519</v>
      </c>
      <c r="E23" s="587" t="s">
        <v>520</v>
      </c>
      <c r="G23" s="672">
        <v>0</v>
      </c>
      <c r="H23" s="1188"/>
      <c r="I23" s="795"/>
      <c r="J23" s="587">
        <f t="shared" si="1"/>
        <v>13</v>
      </c>
    </row>
    <row r="24" spans="1:10">
      <c r="A24" s="587">
        <f t="shared" si="0"/>
        <v>14</v>
      </c>
      <c r="B24" s="397" t="s">
        <v>521</v>
      </c>
      <c r="E24" s="587" t="s">
        <v>522</v>
      </c>
      <c r="G24" s="672">
        <v>0</v>
      </c>
      <c r="H24" s="1188"/>
      <c r="I24" s="795"/>
      <c r="J24" s="587">
        <f t="shared" si="1"/>
        <v>14</v>
      </c>
    </row>
    <row r="25" spans="1:10">
      <c r="A25" s="587">
        <f t="shared" si="0"/>
        <v>15</v>
      </c>
      <c r="B25" s="665" t="s">
        <v>523</v>
      </c>
      <c r="C25" s="665"/>
      <c r="D25" s="665"/>
      <c r="E25" s="665"/>
      <c r="F25" s="665"/>
      <c r="G25" s="796">
        <f>SUM(G20:G24)</f>
        <v>219387.11603999999</v>
      </c>
      <c r="H25" s="675"/>
      <c r="I25" s="791" t="str">
        <f>"Sum Lines "&amp;A20&amp;" thru "&amp;A24</f>
        <v>Sum Lines 10 thru 14</v>
      </c>
      <c r="J25" s="587">
        <f t="shared" si="1"/>
        <v>15</v>
      </c>
    </row>
    <row r="26" spans="1:10">
      <c r="A26" s="587">
        <f t="shared" si="0"/>
        <v>16</v>
      </c>
      <c r="B26" s="665"/>
      <c r="I26" s="791"/>
      <c r="J26" s="587">
        <f t="shared" si="1"/>
        <v>16</v>
      </c>
    </row>
    <row r="27" spans="1:10" ht="16.5" thickBot="1">
      <c r="A27" s="587">
        <f t="shared" si="0"/>
        <v>17</v>
      </c>
      <c r="B27" s="759" t="s">
        <v>228</v>
      </c>
      <c r="G27" s="797">
        <f>G25/G17</f>
        <v>4.2778982149943599E-2</v>
      </c>
      <c r="H27" s="798"/>
      <c r="I27" s="791" t="str">
        <f>"Line "&amp;A25&amp;" / Line "&amp;A17</f>
        <v>Line 15 / Line 7</v>
      </c>
      <c r="J27" s="587">
        <f t="shared" si="1"/>
        <v>17</v>
      </c>
    </row>
    <row r="28" spans="1:10" ht="16.5" thickTop="1">
      <c r="A28" s="587">
        <f t="shared" si="0"/>
        <v>18</v>
      </c>
      <c r="B28" s="665"/>
      <c r="I28" s="791"/>
      <c r="J28" s="587">
        <f t="shared" si="1"/>
        <v>18</v>
      </c>
    </row>
    <row r="29" spans="1:10">
      <c r="A29" s="587">
        <f t="shared" si="0"/>
        <v>19</v>
      </c>
      <c r="B29" s="759" t="s">
        <v>229</v>
      </c>
      <c r="I29" s="791"/>
      <c r="J29" s="587">
        <f t="shared" si="1"/>
        <v>19</v>
      </c>
    </row>
    <row r="30" spans="1:10">
      <c r="A30" s="587">
        <f t="shared" si="0"/>
        <v>20</v>
      </c>
      <c r="B30" s="665" t="s">
        <v>524</v>
      </c>
      <c r="E30" s="587" t="s">
        <v>525</v>
      </c>
      <c r="G30" s="669">
        <v>0</v>
      </c>
      <c r="H30" s="1188"/>
      <c r="I30" s="795"/>
      <c r="J30" s="587">
        <f t="shared" si="1"/>
        <v>20</v>
      </c>
    </row>
    <row r="31" spans="1:10">
      <c r="A31" s="587">
        <f t="shared" si="0"/>
        <v>21</v>
      </c>
      <c r="B31" s="665" t="s">
        <v>526</v>
      </c>
      <c r="C31" s="665"/>
      <c r="D31" s="665"/>
      <c r="E31" s="587" t="s">
        <v>527</v>
      </c>
      <c r="G31" s="799">
        <v>0</v>
      </c>
      <c r="H31" s="1188"/>
      <c r="I31" s="795"/>
      <c r="J31" s="587">
        <f t="shared" si="1"/>
        <v>21</v>
      </c>
    </row>
    <row r="32" spans="1:10" ht="16.5" thickBot="1">
      <c r="A32" s="587">
        <f t="shared" si="0"/>
        <v>22</v>
      </c>
      <c r="B32" s="665" t="s">
        <v>528</v>
      </c>
      <c r="G32" s="797">
        <f>IFERROR((G31/G30),0)</f>
        <v>0</v>
      </c>
      <c r="H32" s="798"/>
      <c r="I32" s="791" t="str">
        <f>"Line "&amp;A31&amp;" / Line "&amp;A30</f>
        <v>Line 21 / Line 20</v>
      </c>
      <c r="J32" s="587">
        <f t="shared" si="1"/>
        <v>22</v>
      </c>
    </row>
    <row r="33" spans="1:12" ht="16.5" thickTop="1">
      <c r="A33" s="587">
        <f t="shared" si="0"/>
        <v>23</v>
      </c>
      <c r="B33" s="665"/>
      <c r="I33" s="791"/>
      <c r="J33" s="587">
        <f t="shared" si="1"/>
        <v>23</v>
      </c>
    </row>
    <row r="34" spans="1:12">
      <c r="A34" s="587">
        <f t="shared" si="0"/>
        <v>24</v>
      </c>
      <c r="B34" s="759" t="s">
        <v>230</v>
      </c>
      <c r="I34" s="791"/>
      <c r="J34" s="587">
        <f t="shared" si="1"/>
        <v>24</v>
      </c>
      <c r="K34" s="694"/>
      <c r="L34" s="694"/>
    </row>
    <row r="35" spans="1:12">
      <c r="A35" s="587">
        <f t="shared" si="0"/>
        <v>25</v>
      </c>
      <c r="B35" s="665" t="s">
        <v>529</v>
      </c>
      <c r="E35" s="587" t="s">
        <v>530</v>
      </c>
      <c r="G35" s="669">
        <v>7099080.8731300002</v>
      </c>
      <c r="H35" s="1188"/>
      <c r="I35" s="795"/>
      <c r="J35" s="587">
        <f t="shared" si="1"/>
        <v>25</v>
      </c>
      <c r="K35" s="630"/>
      <c r="L35" s="1105"/>
    </row>
    <row r="36" spans="1:12">
      <c r="A36" s="587">
        <f t="shared" si="0"/>
        <v>26</v>
      </c>
      <c r="B36" s="665" t="s">
        <v>531</v>
      </c>
      <c r="E36" s="587" t="s">
        <v>525</v>
      </c>
      <c r="G36" s="800">
        <v>0</v>
      </c>
      <c r="H36" s="800"/>
      <c r="I36" s="791" t="str">
        <f>"Negative of Line "&amp;A30&amp;" Above"</f>
        <v>Negative of Line 20 Above</v>
      </c>
      <c r="J36" s="587">
        <f t="shared" si="1"/>
        <v>26</v>
      </c>
      <c r="K36" s="694"/>
      <c r="L36" s="694"/>
    </row>
    <row r="37" spans="1:12">
      <c r="A37" s="587">
        <f t="shared" si="0"/>
        <v>27</v>
      </c>
      <c r="B37" s="665" t="s">
        <v>532</v>
      </c>
      <c r="E37" s="587" t="s">
        <v>533</v>
      </c>
      <c r="G37" s="672">
        <v>0</v>
      </c>
      <c r="H37" s="1188"/>
      <c r="I37" s="795"/>
      <c r="J37" s="587">
        <f t="shared" si="1"/>
        <v>27</v>
      </c>
      <c r="K37" s="694"/>
      <c r="L37" s="694"/>
    </row>
    <row r="38" spans="1:12">
      <c r="A38" s="587">
        <f t="shared" si="0"/>
        <v>28</v>
      </c>
      <c r="B38" s="665" t="s">
        <v>534</v>
      </c>
      <c r="E38" s="587" t="s">
        <v>535</v>
      </c>
      <c r="G38" s="672">
        <v>15874.048050000001</v>
      </c>
      <c r="H38" s="1188"/>
      <c r="I38" s="795"/>
      <c r="J38" s="587">
        <f t="shared" si="1"/>
        <v>28</v>
      </c>
    </row>
    <row r="39" spans="1:12" ht="16.5" thickBot="1">
      <c r="A39" s="587">
        <f t="shared" si="0"/>
        <v>29</v>
      </c>
      <c r="B39" s="665" t="s">
        <v>536</v>
      </c>
      <c r="C39" s="665"/>
      <c r="D39" s="665"/>
      <c r="E39" s="665"/>
      <c r="F39" s="665"/>
      <c r="G39" s="801">
        <f>SUM(G35:G38)</f>
        <v>7114954.9211800005</v>
      </c>
      <c r="H39" s="802"/>
      <c r="I39" s="791" t="str">
        <f>"Sum Lines "&amp;A35&amp;" thru "&amp;A38</f>
        <v>Sum Lines 25 thru 28</v>
      </c>
      <c r="J39" s="587">
        <f t="shared" si="1"/>
        <v>29</v>
      </c>
    </row>
    <row r="40" spans="1:12" ht="17.25" thickTop="1" thickBot="1">
      <c r="A40" s="803">
        <f t="shared" si="0"/>
        <v>30</v>
      </c>
      <c r="B40" s="804"/>
      <c r="C40" s="474"/>
      <c r="D40" s="474"/>
      <c r="E40" s="474"/>
      <c r="F40" s="474"/>
      <c r="G40" s="474"/>
      <c r="H40" s="474"/>
      <c r="I40" s="805"/>
      <c r="J40" s="803">
        <f t="shared" si="1"/>
        <v>30</v>
      </c>
    </row>
    <row r="41" spans="1:12">
      <c r="A41" s="445">
        <f>A40+1</f>
        <v>31</v>
      </c>
      <c r="B41" s="806"/>
      <c r="C41" s="439"/>
      <c r="D41" s="439"/>
      <c r="E41" s="439"/>
      <c r="F41" s="439"/>
      <c r="G41" s="439"/>
      <c r="H41" s="439"/>
      <c r="I41" s="793"/>
      <c r="J41" s="445">
        <f>J40+1</f>
        <v>31</v>
      </c>
    </row>
    <row r="42" spans="1:12" ht="19.5" thickBot="1">
      <c r="A42" s="587">
        <f>A41+1</f>
        <v>32</v>
      </c>
      <c r="B42" s="759" t="s">
        <v>1005</v>
      </c>
      <c r="G42" s="807">
        <v>0.106</v>
      </c>
      <c r="H42" s="1188"/>
      <c r="I42" s="587" t="s">
        <v>1003</v>
      </c>
      <c r="J42" s="587">
        <f>J41+1</f>
        <v>32</v>
      </c>
    </row>
    <row r="43" spans="1:12" ht="16.5" thickTop="1">
      <c r="A43" s="587">
        <f t="shared" si="0"/>
        <v>33</v>
      </c>
      <c r="B43" s="665"/>
      <c r="C43" s="808" t="s">
        <v>4</v>
      </c>
      <c r="D43" s="808" t="s">
        <v>5</v>
      </c>
      <c r="E43" s="808" t="s">
        <v>223</v>
      </c>
      <c r="F43" s="808"/>
      <c r="G43" s="808" t="s">
        <v>231</v>
      </c>
      <c r="H43" s="808"/>
      <c r="I43" s="791"/>
      <c r="J43" s="587">
        <f t="shared" si="1"/>
        <v>33</v>
      </c>
    </row>
    <row r="44" spans="1:12">
      <c r="A44" s="587">
        <f t="shared" si="0"/>
        <v>34</v>
      </c>
      <c r="B44" s="665"/>
      <c r="D44" s="587" t="s">
        <v>232</v>
      </c>
      <c r="E44" s="587" t="s">
        <v>250</v>
      </c>
      <c r="F44" s="587"/>
      <c r="G44" s="587" t="s">
        <v>233</v>
      </c>
      <c r="H44" s="587"/>
      <c r="I44" s="791"/>
      <c r="J44" s="587">
        <f t="shared" si="1"/>
        <v>34</v>
      </c>
    </row>
    <row r="45" spans="1:12" ht="18.75">
      <c r="A45" s="587">
        <f t="shared" si="0"/>
        <v>35</v>
      </c>
      <c r="B45" s="759" t="s">
        <v>234</v>
      </c>
      <c r="C45" s="486" t="s">
        <v>632</v>
      </c>
      <c r="D45" s="486" t="s">
        <v>235</v>
      </c>
      <c r="E45" s="486" t="s">
        <v>251</v>
      </c>
      <c r="F45" s="486"/>
      <c r="G45" s="486" t="s">
        <v>236</v>
      </c>
      <c r="H45" s="445"/>
      <c r="I45" s="791"/>
      <c r="J45" s="587">
        <f t="shared" si="1"/>
        <v>35</v>
      </c>
    </row>
    <row r="46" spans="1:12">
      <c r="A46" s="587">
        <f t="shared" si="0"/>
        <v>36</v>
      </c>
      <c r="B46" s="665"/>
      <c r="I46" s="791"/>
      <c r="J46" s="587">
        <f t="shared" si="1"/>
        <v>36</v>
      </c>
    </row>
    <row r="47" spans="1:12">
      <c r="A47" s="587">
        <f t="shared" si="0"/>
        <v>37</v>
      </c>
      <c r="B47" s="665" t="s">
        <v>237</v>
      </c>
      <c r="C47" s="780">
        <f>G17</f>
        <v>5128385.59999</v>
      </c>
      <c r="D47" s="809">
        <f>C47/C$50</f>
        <v>0.41887143391319476</v>
      </c>
      <c r="E47" s="810">
        <f>G27</f>
        <v>4.2778982149943599E-2</v>
      </c>
      <c r="G47" s="811">
        <f>D47*E47</f>
        <v>1.7918893594493838E-2</v>
      </c>
      <c r="H47" s="811"/>
      <c r="I47" s="791" t="str">
        <f>"Col. c = Line "&amp;A27&amp;" Above"</f>
        <v>Col. c = Line 17 Above</v>
      </c>
      <c r="J47" s="587">
        <f t="shared" si="1"/>
        <v>37</v>
      </c>
    </row>
    <row r="48" spans="1:12">
      <c r="A48" s="587">
        <f t="shared" si="0"/>
        <v>38</v>
      </c>
      <c r="B48" s="665" t="s">
        <v>238</v>
      </c>
      <c r="C48" s="812">
        <f>G30</f>
        <v>0</v>
      </c>
      <c r="D48" s="809">
        <f>C48/C$50</f>
        <v>0</v>
      </c>
      <c r="E48" s="810">
        <f>G32</f>
        <v>0</v>
      </c>
      <c r="G48" s="811">
        <f>D48*E48</f>
        <v>0</v>
      </c>
      <c r="H48" s="811"/>
      <c r="I48" s="791" t="str">
        <f>"Col. c = Line "&amp;A32&amp;" Above"</f>
        <v>Col. c = Line 22 Above</v>
      </c>
      <c r="J48" s="587">
        <f t="shared" si="1"/>
        <v>38</v>
      </c>
    </row>
    <row r="49" spans="1:10">
      <c r="A49" s="587">
        <f t="shared" si="0"/>
        <v>39</v>
      </c>
      <c r="B49" s="665" t="s">
        <v>239</v>
      </c>
      <c r="C49" s="812">
        <f>G39</f>
        <v>7114954.9211800005</v>
      </c>
      <c r="D49" s="813">
        <f>C49/C$50</f>
        <v>0.58112856608680519</v>
      </c>
      <c r="E49" s="814">
        <f>G42</f>
        <v>0.106</v>
      </c>
      <c r="G49" s="815">
        <f>D49*E49</f>
        <v>6.159962800520135E-2</v>
      </c>
      <c r="H49" s="798"/>
      <c r="I49" s="791" t="str">
        <f>"Col. c = Line "&amp;A42&amp;" Above"</f>
        <v>Col. c = Line 32 Above</v>
      </c>
      <c r="J49" s="587">
        <f t="shared" si="1"/>
        <v>39</v>
      </c>
    </row>
    <row r="50" spans="1:10" ht="16.5" thickBot="1">
      <c r="A50" s="587">
        <f t="shared" si="0"/>
        <v>40</v>
      </c>
      <c r="B50" s="665" t="s">
        <v>537</v>
      </c>
      <c r="C50" s="816">
        <f>SUM(C47:C49)</f>
        <v>12243340.521170001</v>
      </c>
      <c r="D50" s="817">
        <f>SUM(D47:D49)</f>
        <v>1</v>
      </c>
      <c r="E50" s="694"/>
      <c r="G50" s="797">
        <f>SUM(G47:G49)</f>
        <v>7.9518521599695191E-2</v>
      </c>
      <c r="H50" s="798"/>
      <c r="I50" s="791" t="str">
        <f>"Sum Lines "&amp;A47&amp;" thru "&amp;A49</f>
        <v>Sum Lines 37 thru 39</v>
      </c>
      <c r="J50" s="587">
        <f t="shared" si="1"/>
        <v>40</v>
      </c>
    </row>
    <row r="51" spans="1:10" ht="16.5" thickTop="1">
      <c r="A51" s="587">
        <f t="shared" si="0"/>
        <v>41</v>
      </c>
      <c r="B51" s="665"/>
      <c r="C51" s="694"/>
      <c r="D51" s="694"/>
      <c r="E51" s="694"/>
      <c r="I51" s="791"/>
      <c r="J51" s="587">
        <f t="shared" si="1"/>
        <v>41</v>
      </c>
    </row>
    <row r="52" spans="1:10" ht="16.5" thickBot="1">
      <c r="A52" s="587">
        <f t="shared" si="0"/>
        <v>42</v>
      </c>
      <c r="B52" s="759" t="s">
        <v>252</v>
      </c>
      <c r="C52" s="694"/>
      <c r="D52" s="694"/>
      <c r="E52" s="694"/>
      <c r="G52" s="797">
        <f>G48+G49</f>
        <v>6.159962800520135E-2</v>
      </c>
      <c r="H52" s="798"/>
      <c r="I52" s="791" t="str">
        <f>"Line "&amp;A48&amp;" + Line "&amp;A49&amp;"; Col. d"</f>
        <v>Line 38 + Line 39; Col. d</v>
      </c>
      <c r="J52" s="587">
        <f t="shared" si="1"/>
        <v>42</v>
      </c>
    </row>
    <row r="53" spans="1:10" ht="17.25" thickTop="1" thickBot="1">
      <c r="A53" s="803">
        <f t="shared" si="0"/>
        <v>43</v>
      </c>
      <c r="B53" s="1503"/>
      <c r="C53" s="474"/>
      <c r="D53" s="474"/>
      <c r="E53" s="474"/>
      <c r="F53" s="474"/>
      <c r="G53" s="1504"/>
      <c r="H53" s="1504"/>
      <c r="I53" s="805"/>
      <c r="J53" s="803">
        <f t="shared" si="1"/>
        <v>43</v>
      </c>
    </row>
    <row r="54" spans="1:10">
      <c r="A54" s="587">
        <f t="shared" si="0"/>
        <v>44</v>
      </c>
      <c r="B54" s="759"/>
      <c r="G54" s="821"/>
      <c r="H54" s="821"/>
      <c r="I54" s="791"/>
      <c r="J54" s="587">
        <f t="shared" si="1"/>
        <v>44</v>
      </c>
    </row>
    <row r="55" spans="1:10" s="1461" customFormat="1" ht="16.5" thickBot="1">
      <c r="A55" s="587">
        <f t="shared" si="0"/>
        <v>45</v>
      </c>
      <c r="B55" s="759" t="s">
        <v>942</v>
      </c>
      <c r="E55" s="694"/>
      <c r="G55" s="1534">
        <v>0</v>
      </c>
      <c r="H55" s="821"/>
      <c r="I55" s="791" t="s">
        <v>125</v>
      </c>
      <c r="J55" s="587">
        <f t="shared" si="1"/>
        <v>45</v>
      </c>
    </row>
    <row r="56" spans="1:10" s="1461" customFormat="1" ht="16.5" thickTop="1">
      <c r="A56" s="587">
        <f t="shared" si="0"/>
        <v>46</v>
      </c>
      <c r="B56" s="665"/>
      <c r="C56" s="819" t="s">
        <v>4</v>
      </c>
      <c r="D56" s="819" t="s">
        <v>5</v>
      </c>
      <c r="E56" s="819" t="s">
        <v>223</v>
      </c>
      <c r="F56" s="808"/>
      <c r="G56" s="808" t="s">
        <v>231</v>
      </c>
      <c r="H56" s="821"/>
      <c r="I56" s="791"/>
      <c r="J56" s="587">
        <f t="shared" si="1"/>
        <v>46</v>
      </c>
    </row>
    <row r="57" spans="1:10" s="1461" customFormat="1">
      <c r="A57" s="587">
        <f t="shared" si="0"/>
        <v>47</v>
      </c>
      <c r="B57" s="665"/>
      <c r="C57" s="694"/>
      <c r="D57" s="820" t="s">
        <v>232</v>
      </c>
      <c r="E57" s="820" t="s">
        <v>250</v>
      </c>
      <c r="F57" s="587"/>
      <c r="G57" s="587" t="s">
        <v>233</v>
      </c>
      <c r="H57" s="821"/>
      <c r="I57" s="791"/>
      <c r="J57" s="587">
        <f t="shared" si="1"/>
        <v>47</v>
      </c>
    </row>
    <row r="58" spans="1:10" s="1461" customFormat="1" ht="18.75">
      <c r="A58" s="587">
        <f t="shared" si="0"/>
        <v>48</v>
      </c>
      <c r="B58" s="759" t="s">
        <v>914</v>
      </c>
      <c r="C58" s="1505" t="s">
        <v>632</v>
      </c>
      <c r="D58" s="1505" t="s">
        <v>235</v>
      </c>
      <c r="E58" s="1505" t="s">
        <v>251</v>
      </c>
      <c r="F58" s="1411"/>
      <c r="G58" s="1411" t="s">
        <v>236</v>
      </c>
      <c r="H58" s="821"/>
      <c r="I58" s="791"/>
      <c r="J58" s="587">
        <f t="shared" si="1"/>
        <v>48</v>
      </c>
    </row>
    <row r="59" spans="1:10" s="1461" customFormat="1">
      <c r="A59" s="587">
        <f t="shared" si="0"/>
        <v>49</v>
      </c>
      <c r="B59" s="665"/>
      <c r="C59" s="694"/>
      <c r="D59" s="694"/>
      <c r="G59" s="821"/>
      <c r="H59" s="821"/>
      <c r="I59" s="791"/>
      <c r="J59" s="587">
        <f t="shared" si="1"/>
        <v>49</v>
      </c>
    </row>
    <row r="60" spans="1:10" s="1461" customFormat="1">
      <c r="A60" s="587">
        <f t="shared" si="0"/>
        <v>50</v>
      </c>
      <c r="B60" s="665" t="s">
        <v>237</v>
      </c>
      <c r="C60" s="1535">
        <v>0</v>
      </c>
      <c r="D60" s="1537">
        <v>0</v>
      </c>
      <c r="E60" s="1539">
        <v>0</v>
      </c>
      <c r="G60" s="811">
        <f>D60*E60</f>
        <v>0</v>
      </c>
      <c r="H60" s="821"/>
      <c r="I60" s="791" t="s">
        <v>125</v>
      </c>
      <c r="J60" s="587">
        <f t="shared" si="1"/>
        <v>50</v>
      </c>
    </row>
    <row r="61" spans="1:10" s="1461" customFormat="1">
      <c r="A61" s="587">
        <f t="shared" si="0"/>
        <v>51</v>
      </c>
      <c r="B61" s="665" t="s">
        <v>238</v>
      </c>
      <c r="C61" s="1536">
        <v>0</v>
      </c>
      <c r="D61" s="1537">
        <v>0</v>
      </c>
      <c r="E61" s="1539">
        <v>0</v>
      </c>
      <c r="G61" s="811">
        <f>D61*E61</f>
        <v>0</v>
      </c>
      <c r="H61" s="821"/>
      <c r="I61" s="791" t="s">
        <v>125</v>
      </c>
      <c r="J61" s="587">
        <f t="shared" si="1"/>
        <v>51</v>
      </c>
    </row>
    <row r="62" spans="1:10" s="1461" customFormat="1">
      <c r="A62" s="587">
        <f t="shared" si="0"/>
        <v>52</v>
      </c>
      <c r="B62" s="665" t="s">
        <v>239</v>
      </c>
      <c r="C62" s="1536">
        <v>0</v>
      </c>
      <c r="D62" s="1538">
        <v>0</v>
      </c>
      <c r="E62" s="1540">
        <v>0</v>
      </c>
      <c r="G62" s="1507">
        <f>D62*E62</f>
        <v>0</v>
      </c>
      <c r="H62" s="821"/>
      <c r="I62" s="791" t="s">
        <v>125</v>
      </c>
      <c r="J62" s="587">
        <f t="shared" si="1"/>
        <v>52</v>
      </c>
    </row>
    <row r="63" spans="1:10" s="1461" customFormat="1" ht="16.5" thickBot="1">
      <c r="A63" s="587">
        <f t="shared" si="0"/>
        <v>53</v>
      </c>
      <c r="B63" s="665" t="s">
        <v>537</v>
      </c>
      <c r="C63" s="1506">
        <f>SUM(C60:C62)</f>
        <v>0</v>
      </c>
      <c r="D63" s="797">
        <f>SUM(D60:D62)</f>
        <v>0</v>
      </c>
      <c r="G63" s="797">
        <f>SUM(G60:G62)</f>
        <v>0</v>
      </c>
      <c r="H63" s="821"/>
      <c r="I63" s="791" t="str">
        <f>"Sum Lines "&amp;A60&amp;" thru "&amp;A62</f>
        <v>Sum Lines 50 thru 52</v>
      </c>
      <c r="J63" s="587">
        <f t="shared" si="1"/>
        <v>53</v>
      </c>
    </row>
    <row r="64" spans="1:10" s="1461" customFormat="1" ht="16.5" thickTop="1">
      <c r="A64" s="587">
        <f t="shared" si="0"/>
        <v>54</v>
      </c>
      <c r="B64" s="665"/>
      <c r="H64" s="821"/>
      <c r="I64" s="791"/>
      <c r="J64" s="587">
        <f t="shared" si="1"/>
        <v>54</v>
      </c>
    </row>
    <row r="65" spans="1:10" s="1461" customFormat="1" ht="16.5" thickBot="1">
      <c r="A65" s="587">
        <f t="shared" si="0"/>
        <v>55</v>
      </c>
      <c r="B65" s="759" t="s">
        <v>915</v>
      </c>
      <c r="G65" s="797">
        <f>G61+G62</f>
        <v>0</v>
      </c>
      <c r="H65" s="821"/>
      <c r="I65" s="791" t="str">
        <f>"Line "&amp;A61&amp;" + Line "&amp;A62&amp;"; Col. d"</f>
        <v>Line 51 + Line 52; Col. d</v>
      </c>
      <c r="J65" s="587">
        <f t="shared" si="1"/>
        <v>55</v>
      </c>
    </row>
    <row r="66" spans="1:10" s="1461" customFormat="1" ht="16.5" thickTop="1">
      <c r="A66" s="587"/>
      <c r="B66" s="759"/>
      <c r="G66" s="821"/>
      <c r="H66" s="821"/>
      <c r="I66" s="791"/>
      <c r="J66" s="587"/>
    </row>
    <row r="67" spans="1:10" s="1461" customFormat="1">
      <c r="A67" s="587"/>
      <c r="B67" s="759"/>
      <c r="G67" s="821"/>
      <c r="H67" s="821"/>
      <c r="I67" s="791"/>
      <c r="J67" s="587"/>
    </row>
    <row r="68" spans="1:10" ht="18.75">
      <c r="A68" s="787">
        <v>1</v>
      </c>
      <c r="B68" s="93" t="s">
        <v>253</v>
      </c>
      <c r="C68" s="665"/>
      <c r="D68" s="665"/>
      <c r="E68" s="665"/>
      <c r="F68" s="665"/>
      <c r="G68" s="671"/>
      <c r="H68" s="671"/>
      <c r="J68" s="583" t="s">
        <v>9</v>
      </c>
    </row>
    <row r="69" spans="1:10" s="1461" customFormat="1" ht="18.75">
      <c r="A69" s="1608"/>
      <c r="B69" s="1600"/>
      <c r="C69" s="665"/>
      <c r="D69" s="665"/>
      <c r="E69" s="665"/>
      <c r="F69" s="665"/>
      <c r="G69" s="671"/>
      <c r="H69" s="671"/>
      <c r="I69" s="719"/>
      <c r="J69" s="583"/>
    </row>
    <row r="70" spans="1:10" ht="18.75">
      <c r="A70" s="787"/>
      <c r="B70" s="93"/>
      <c r="C70" s="665"/>
      <c r="D70" s="583"/>
      <c r="E70" s="665"/>
      <c r="F70" s="665"/>
      <c r="G70" s="671"/>
      <c r="H70" s="671"/>
      <c r="J70" s="583"/>
    </row>
    <row r="71" spans="1:10">
      <c r="B71" s="1650" t="s">
        <v>0</v>
      </c>
      <c r="C71" s="1650"/>
      <c r="D71" s="1650"/>
      <c r="E71" s="1650"/>
      <c r="F71" s="1650"/>
      <c r="G71" s="1650"/>
      <c r="H71" s="1650"/>
      <c r="I71" s="1635"/>
      <c r="J71" s="587"/>
    </row>
    <row r="72" spans="1:10">
      <c r="B72" s="1650" t="s">
        <v>224</v>
      </c>
      <c r="C72" s="1650"/>
      <c r="D72" s="1650"/>
      <c r="E72" s="1650"/>
      <c r="F72" s="1650"/>
      <c r="G72" s="1650"/>
      <c r="H72" s="1650"/>
      <c r="I72" s="1635"/>
      <c r="J72" s="587"/>
    </row>
    <row r="73" spans="1:10">
      <c r="B73" s="1650" t="s">
        <v>225</v>
      </c>
      <c r="C73" s="1650"/>
      <c r="D73" s="1650"/>
      <c r="E73" s="1650"/>
      <c r="F73" s="1650"/>
      <c r="G73" s="1650"/>
      <c r="H73" s="1650"/>
      <c r="I73" s="1635"/>
      <c r="J73" s="587"/>
    </row>
    <row r="74" spans="1:10">
      <c r="B74" s="1651" t="str">
        <f>B5</f>
        <v>Base Period &amp; True-Up Period 12 - Months Ending December 31, 2019</v>
      </c>
      <c r="C74" s="1651"/>
      <c r="D74" s="1651"/>
      <c r="E74" s="1651"/>
      <c r="F74" s="1651"/>
      <c r="G74" s="1651"/>
      <c r="H74" s="1651"/>
      <c r="I74" s="1637"/>
      <c r="J74" s="587"/>
    </row>
    <row r="75" spans="1:10" s="694" customFormat="1">
      <c r="A75" s="820"/>
      <c r="B75" s="1652" t="s">
        <v>2</v>
      </c>
      <c r="C75" s="1653"/>
      <c r="D75" s="1653"/>
      <c r="E75" s="1653"/>
      <c r="F75" s="1653"/>
      <c r="G75" s="1653"/>
      <c r="H75" s="1653"/>
      <c r="I75" s="1653"/>
      <c r="J75" s="820"/>
    </row>
    <row r="76" spans="1:10">
      <c r="B76" s="583"/>
      <c r="C76" s="583"/>
      <c r="D76" s="583"/>
      <c r="E76" s="583"/>
      <c r="F76" s="583"/>
      <c r="G76" s="583"/>
      <c r="H76" s="583"/>
      <c r="I76" s="791"/>
      <c r="J76" s="587"/>
    </row>
    <row r="77" spans="1:10">
      <c r="A77" s="587" t="s">
        <v>3</v>
      </c>
      <c r="B77" s="1188"/>
      <c r="C77" s="1188"/>
      <c r="D77" s="1188"/>
      <c r="E77" s="1188"/>
      <c r="F77" s="1188"/>
      <c r="G77" s="1188"/>
      <c r="H77" s="1188"/>
      <c r="I77" s="791"/>
      <c r="J77" s="587" t="s">
        <v>3</v>
      </c>
    </row>
    <row r="78" spans="1:10">
      <c r="A78" s="445" t="s">
        <v>24</v>
      </c>
      <c r="B78" s="583"/>
      <c r="C78" s="583"/>
      <c r="D78" s="583"/>
      <c r="E78" s="583"/>
      <c r="F78" s="583"/>
      <c r="G78" s="486" t="s">
        <v>123</v>
      </c>
      <c r="H78" s="1188"/>
      <c r="I78" s="792" t="s">
        <v>8</v>
      </c>
      <c r="J78" s="445" t="s">
        <v>24</v>
      </c>
    </row>
    <row r="79" spans="1:10">
      <c r="B79" s="665"/>
      <c r="G79" s="587"/>
      <c r="H79" s="587"/>
      <c r="I79" s="791"/>
      <c r="J79" s="587"/>
    </row>
    <row r="80" spans="1:10" ht="18.75">
      <c r="A80" s="587">
        <v>1</v>
      </c>
      <c r="B80" s="794" t="s">
        <v>240</v>
      </c>
      <c r="E80" s="1188"/>
      <c r="F80" s="1188"/>
      <c r="G80" s="670"/>
      <c r="H80" s="670"/>
      <c r="I80" s="791"/>
      <c r="J80" s="587">
        <v>1</v>
      </c>
    </row>
    <row r="81" spans="1:13">
      <c r="A81" s="587">
        <f>A80+1</f>
        <v>2</v>
      </c>
      <c r="B81" s="822"/>
      <c r="E81" s="1188"/>
      <c r="F81" s="1188"/>
      <c r="G81" s="670"/>
      <c r="H81" s="670"/>
      <c r="I81" s="791"/>
      <c r="J81" s="587">
        <f>J80+1</f>
        <v>2</v>
      </c>
    </row>
    <row r="82" spans="1:13">
      <c r="A82" s="587">
        <f>A81+1</f>
        <v>3</v>
      </c>
      <c r="B82" s="794" t="s">
        <v>241</v>
      </c>
      <c r="E82" s="1188"/>
      <c r="F82" s="1188"/>
      <c r="G82" s="670"/>
      <c r="H82" s="670"/>
      <c r="I82" s="791"/>
      <c r="J82" s="587">
        <f>J81+1</f>
        <v>3</v>
      </c>
    </row>
    <row r="83" spans="1:13">
      <c r="A83" s="587">
        <f>A82+1</f>
        <v>4</v>
      </c>
      <c r="B83" s="1188"/>
      <c r="C83" s="1188"/>
      <c r="D83" s="1188"/>
      <c r="E83" s="1188"/>
      <c r="F83" s="1188"/>
      <c r="G83" s="670"/>
      <c r="H83" s="670"/>
      <c r="I83" s="791"/>
      <c r="J83" s="587">
        <f>J82+1</f>
        <v>4</v>
      </c>
    </row>
    <row r="84" spans="1:13">
      <c r="A84" s="587">
        <f t="shared" ref="A84:A110" si="2">A83+1</f>
        <v>5</v>
      </c>
      <c r="B84" s="705" t="s">
        <v>242</v>
      </c>
      <c r="C84" s="1188"/>
      <c r="D84" s="1188"/>
      <c r="E84" s="1188"/>
      <c r="F84" s="1188"/>
      <c r="G84" s="670"/>
      <c r="H84" s="670"/>
      <c r="I84" s="823"/>
      <c r="J84" s="587">
        <f t="shared" ref="J84:J110" si="3">J83+1</f>
        <v>5</v>
      </c>
    </row>
    <row r="85" spans="1:13">
      <c r="A85" s="587">
        <f t="shared" si="2"/>
        <v>6</v>
      </c>
      <c r="B85" s="397" t="s">
        <v>243</v>
      </c>
      <c r="D85" s="1188"/>
      <c r="E85" s="1188"/>
      <c r="F85" s="1188"/>
      <c r="G85" s="824">
        <f>G52</f>
        <v>6.159962800520135E-2</v>
      </c>
      <c r="H85" s="1188"/>
      <c r="I85" s="825" t="str">
        <f>"AV1; Line "&amp;A52</f>
        <v>AV1; Line 42</v>
      </c>
      <c r="J85" s="587">
        <f t="shared" si="3"/>
        <v>6</v>
      </c>
      <c r="L85" s="583"/>
    </row>
    <row r="86" spans="1:13">
      <c r="A86" s="587">
        <f t="shared" si="2"/>
        <v>7</v>
      </c>
      <c r="B86" s="397" t="s">
        <v>538</v>
      </c>
      <c r="D86" s="1188"/>
      <c r="E86" s="1188"/>
      <c r="F86" s="1188"/>
      <c r="G86" s="826">
        <f>-'Stmt AR'!E21</f>
        <v>264.76299999999998</v>
      </c>
      <c r="H86" s="1188"/>
      <c r="I86" s="825" t="str">
        <f>"Negative of Statement AR; Line "&amp;'Stmt AR'!A21</f>
        <v>Negative of Statement AR; Line 11</v>
      </c>
      <c r="J86" s="587">
        <f t="shared" si="3"/>
        <v>7</v>
      </c>
      <c r="L86" s="583"/>
    </row>
    <row r="87" spans="1:13" ht="18.75">
      <c r="A87" s="587">
        <f t="shared" si="2"/>
        <v>8</v>
      </c>
      <c r="B87" s="397" t="s">
        <v>545</v>
      </c>
      <c r="D87" s="1188"/>
      <c r="E87" s="1188"/>
      <c r="F87" s="1188"/>
      <c r="G87" s="827">
        <f>'AV-2A'!C52</f>
        <v>7491.7360400000025</v>
      </c>
      <c r="H87" s="1188"/>
      <c r="I87" s="790" t="str">
        <f>"AV-2A; Line "&amp;'AV-2A'!A52&amp;""</f>
        <v>AV-2A; Line 40</v>
      </c>
      <c r="J87" s="587">
        <f t="shared" si="3"/>
        <v>8</v>
      </c>
      <c r="L87" s="1188"/>
    </row>
    <row r="88" spans="1:13">
      <c r="A88" s="587">
        <f t="shared" si="2"/>
        <v>9</v>
      </c>
      <c r="B88" s="397" t="s">
        <v>244</v>
      </c>
      <c r="D88" s="1188"/>
      <c r="E88" s="828"/>
      <c r="F88" s="1188"/>
      <c r="G88" s="773">
        <f>'AV-4'!C36</f>
        <v>4272464.4452551994</v>
      </c>
      <c r="H88" s="1188"/>
      <c r="I88" s="790" t="str">
        <f>"AV-4; Page 1; Line "&amp;'AV-4'!A36</f>
        <v>AV-4; Page 1; Line 26</v>
      </c>
      <c r="J88" s="587">
        <f t="shared" si="3"/>
        <v>9</v>
      </c>
    </row>
    <row r="89" spans="1:13">
      <c r="A89" s="587">
        <f t="shared" si="2"/>
        <v>10</v>
      </c>
      <c r="B89" s="694" t="s">
        <v>539</v>
      </c>
      <c r="D89" s="829"/>
      <c r="E89" s="1188"/>
      <c r="F89" s="1188"/>
      <c r="G89" s="1103">
        <v>0.21</v>
      </c>
      <c r="H89" s="1188"/>
      <c r="I89" s="825" t="s">
        <v>245</v>
      </c>
      <c r="J89" s="587">
        <f t="shared" si="3"/>
        <v>10</v>
      </c>
      <c r="M89" s="831"/>
    </row>
    <row r="90" spans="1:13">
      <c r="A90" s="587">
        <f t="shared" si="2"/>
        <v>11</v>
      </c>
      <c r="B90" s="665"/>
      <c r="G90" s="587"/>
      <c r="H90" s="587"/>
      <c r="J90" s="587">
        <f t="shared" si="3"/>
        <v>11</v>
      </c>
    </row>
    <row r="91" spans="1:13">
      <c r="A91" s="587">
        <f t="shared" si="2"/>
        <v>12</v>
      </c>
      <c r="B91" s="397" t="s">
        <v>540</v>
      </c>
      <c r="D91" s="1188"/>
      <c r="E91" s="1188"/>
      <c r="F91" s="1188"/>
      <c r="G91" s="832">
        <f>(((G85)+(G87/G88))*G89-(G86/G88))/(1-G89)</f>
        <v>1.6762260466036433E-2</v>
      </c>
      <c r="H91" s="832"/>
      <c r="I91" s="825" t="s">
        <v>254</v>
      </c>
      <c r="J91" s="587">
        <f t="shared" si="3"/>
        <v>12</v>
      </c>
      <c r="M91" s="833"/>
    </row>
    <row r="92" spans="1:13">
      <c r="A92" s="587">
        <f t="shared" si="2"/>
        <v>13</v>
      </c>
      <c r="B92" s="834" t="s">
        <v>541</v>
      </c>
      <c r="G92" s="587"/>
      <c r="H92" s="587"/>
      <c r="J92" s="587">
        <f t="shared" si="3"/>
        <v>13</v>
      </c>
    </row>
    <row r="93" spans="1:13">
      <c r="A93" s="587">
        <f t="shared" si="2"/>
        <v>14</v>
      </c>
      <c r="B93" s="665"/>
      <c r="G93" s="587"/>
      <c r="H93" s="587"/>
      <c r="J93" s="587">
        <f t="shared" si="3"/>
        <v>14</v>
      </c>
    </row>
    <row r="94" spans="1:13">
      <c r="A94" s="587">
        <f t="shared" si="2"/>
        <v>15</v>
      </c>
      <c r="B94" s="794" t="s">
        <v>246</v>
      </c>
      <c r="C94" s="1188"/>
      <c r="D94" s="1188"/>
      <c r="E94" s="1188"/>
      <c r="F94" s="1188"/>
      <c r="G94" s="835"/>
      <c r="H94" s="835"/>
      <c r="I94" s="836"/>
      <c r="J94" s="587">
        <f t="shared" si="3"/>
        <v>15</v>
      </c>
      <c r="L94" s="837"/>
    </row>
    <row r="95" spans="1:13">
      <c r="A95" s="587">
        <f t="shared" si="2"/>
        <v>16</v>
      </c>
      <c r="B95" s="770"/>
      <c r="C95" s="1188"/>
      <c r="D95" s="1188"/>
      <c r="E95" s="1188"/>
      <c r="F95" s="1188"/>
      <c r="G95" s="835"/>
      <c r="H95" s="835"/>
      <c r="I95" s="838"/>
      <c r="J95" s="587">
        <f t="shared" si="3"/>
        <v>16</v>
      </c>
      <c r="L95" s="1188"/>
    </row>
    <row r="96" spans="1:13">
      <c r="A96" s="587">
        <f t="shared" si="2"/>
        <v>17</v>
      </c>
      <c r="B96" s="705" t="s">
        <v>242</v>
      </c>
      <c r="C96" s="1188"/>
      <c r="D96" s="1188"/>
      <c r="E96" s="1188"/>
      <c r="F96" s="1188"/>
      <c r="G96" s="835"/>
      <c r="H96" s="835"/>
      <c r="I96" s="838"/>
      <c r="J96" s="587">
        <f t="shared" si="3"/>
        <v>17</v>
      </c>
      <c r="L96" s="1188"/>
    </row>
    <row r="97" spans="1:13">
      <c r="A97" s="587">
        <f t="shared" si="2"/>
        <v>18</v>
      </c>
      <c r="B97" s="397" t="s">
        <v>243</v>
      </c>
      <c r="D97" s="1188"/>
      <c r="E97" s="1188"/>
      <c r="F97" s="1188"/>
      <c r="G97" s="809">
        <f>G85</f>
        <v>6.159962800520135E-2</v>
      </c>
      <c r="H97" s="809"/>
      <c r="I97" s="825" t="str">
        <f>"Line "&amp;A85&amp;" Above"</f>
        <v>Line 6 Above</v>
      </c>
      <c r="J97" s="587">
        <f t="shared" si="3"/>
        <v>18</v>
      </c>
      <c r="L97" s="583"/>
    </row>
    <row r="98" spans="1:13">
      <c r="A98" s="587">
        <f t="shared" si="2"/>
        <v>19</v>
      </c>
      <c r="B98" s="397" t="s">
        <v>255</v>
      </c>
      <c r="D98" s="1188"/>
      <c r="E98" s="1188"/>
      <c r="F98" s="1188"/>
      <c r="G98" s="592">
        <f>G87</f>
        <v>7491.7360400000025</v>
      </c>
      <c r="H98" s="592"/>
      <c r="I98" s="825" t="str">
        <f>"Line "&amp;A87&amp;" Above"</f>
        <v>Line 8 Above</v>
      </c>
      <c r="J98" s="587">
        <f t="shared" si="3"/>
        <v>19</v>
      </c>
      <c r="L98" s="583"/>
    </row>
    <row r="99" spans="1:13">
      <c r="A99" s="587">
        <f t="shared" si="2"/>
        <v>20</v>
      </c>
      <c r="B99" s="397" t="s">
        <v>256</v>
      </c>
      <c r="D99" s="1188"/>
      <c r="E99" s="1188"/>
      <c r="F99" s="1188"/>
      <c r="G99" s="839">
        <f>G88</f>
        <v>4272464.4452551994</v>
      </c>
      <c r="H99" s="839"/>
      <c r="I99" s="825" t="str">
        <f>"Line "&amp;A88&amp;" Above"</f>
        <v>Line 9 Above</v>
      </c>
      <c r="J99" s="587">
        <f t="shared" si="3"/>
        <v>20</v>
      </c>
      <c r="L99" s="583"/>
    </row>
    <row r="100" spans="1:13">
      <c r="A100" s="587">
        <f t="shared" si="2"/>
        <v>21</v>
      </c>
      <c r="B100" s="397" t="s">
        <v>257</v>
      </c>
      <c r="D100" s="1188"/>
      <c r="E100" s="1188"/>
      <c r="F100" s="1188"/>
      <c r="G100" s="840">
        <f>G91</f>
        <v>1.6762260466036433E-2</v>
      </c>
      <c r="H100" s="840"/>
      <c r="I100" s="825" t="str">
        <f>"Line "&amp;A91&amp;" Above"</f>
        <v>Line 12 Above</v>
      </c>
      <c r="J100" s="587">
        <f t="shared" si="3"/>
        <v>21</v>
      </c>
    </row>
    <row r="101" spans="1:13">
      <c r="A101" s="587">
        <f t="shared" si="2"/>
        <v>22</v>
      </c>
      <c r="B101" s="694" t="s">
        <v>542</v>
      </c>
      <c r="D101" s="1188"/>
      <c r="E101" s="1188"/>
      <c r="F101" s="1188"/>
      <c r="G101" s="830" t="s">
        <v>411</v>
      </c>
      <c r="H101" s="1188"/>
      <c r="I101" s="825" t="s">
        <v>247</v>
      </c>
      <c r="J101" s="587">
        <f t="shared" si="3"/>
        <v>22</v>
      </c>
    </row>
    <row r="102" spans="1:13">
      <c r="A102" s="587">
        <f t="shared" si="2"/>
        <v>23</v>
      </c>
      <c r="B102" s="1189"/>
      <c r="D102" s="1188"/>
      <c r="E102" s="1188"/>
      <c r="F102" s="1188"/>
      <c r="G102" s="841"/>
      <c r="H102" s="841"/>
      <c r="I102" s="838"/>
      <c r="J102" s="587">
        <f t="shared" si="3"/>
        <v>23</v>
      </c>
    </row>
    <row r="103" spans="1:13">
      <c r="A103" s="587">
        <f t="shared" si="2"/>
        <v>24</v>
      </c>
      <c r="B103" s="397" t="s">
        <v>543</v>
      </c>
      <c r="C103" s="583"/>
      <c r="D103" s="583"/>
      <c r="E103" s="1188"/>
      <c r="F103" s="1188"/>
      <c r="G103" s="842">
        <f>((G97)+(G98/G99)+G91)*G101/(1-G101)</f>
        <v>7.7689773064846153E-3</v>
      </c>
      <c r="H103" s="843"/>
      <c r="I103" s="825" t="s">
        <v>258</v>
      </c>
      <c r="J103" s="587">
        <f t="shared" si="3"/>
        <v>24</v>
      </c>
    </row>
    <row r="104" spans="1:13">
      <c r="A104" s="587">
        <f t="shared" si="2"/>
        <v>25</v>
      </c>
      <c r="B104" s="834" t="s">
        <v>544</v>
      </c>
      <c r="G104" s="587"/>
      <c r="H104" s="587"/>
      <c r="I104" s="791"/>
      <c r="J104" s="587">
        <f t="shared" si="3"/>
        <v>25</v>
      </c>
      <c r="L104" s="587"/>
    </row>
    <row r="105" spans="1:13">
      <c r="A105" s="587">
        <f t="shared" si="2"/>
        <v>26</v>
      </c>
      <c r="B105" s="665"/>
      <c r="G105" s="587"/>
      <c r="H105" s="587"/>
      <c r="I105" s="791"/>
      <c r="J105" s="587">
        <f t="shared" si="3"/>
        <v>26</v>
      </c>
      <c r="L105" s="587"/>
    </row>
    <row r="106" spans="1:13">
      <c r="A106" s="587">
        <f t="shared" si="2"/>
        <v>27</v>
      </c>
      <c r="B106" s="794" t="s">
        <v>248</v>
      </c>
      <c r="G106" s="832">
        <f>G103+G91</f>
        <v>2.4531237772521048E-2</v>
      </c>
      <c r="H106" s="832"/>
      <c r="I106" s="791" t="str">
        <f>"Line "&amp;A91&amp;" + Line "&amp;A103</f>
        <v>Line 12 + Line 24</v>
      </c>
      <c r="J106" s="587">
        <f t="shared" si="3"/>
        <v>27</v>
      </c>
      <c r="L106" s="587"/>
    </row>
    <row r="107" spans="1:13">
      <c r="A107" s="587">
        <f t="shared" si="2"/>
        <v>28</v>
      </c>
      <c r="B107" s="665"/>
      <c r="G107" s="587"/>
      <c r="H107" s="587"/>
      <c r="I107" s="791"/>
      <c r="J107" s="587">
        <f t="shared" si="3"/>
        <v>28</v>
      </c>
      <c r="L107" s="587"/>
    </row>
    <row r="108" spans="1:13">
      <c r="A108" s="587">
        <f t="shared" si="2"/>
        <v>29</v>
      </c>
      <c r="B108" s="794" t="s">
        <v>259</v>
      </c>
      <c r="G108" s="844">
        <f>G50</f>
        <v>7.9518521599695191E-2</v>
      </c>
      <c r="H108" s="1188"/>
      <c r="I108" s="825" t="str">
        <f>"AV1; Line "&amp;A50</f>
        <v>AV1; Line 40</v>
      </c>
      <c r="J108" s="587">
        <f t="shared" si="3"/>
        <v>29</v>
      </c>
      <c r="L108" s="583"/>
    </row>
    <row r="109" spans="1:13">
      <c r="A109" s="587">
        <f t="shared" si="2"/>
        <v>30</v>
      </c>
      <c r="B109" s="665"/>
      <c r="G109" s="809"/>
      <c r="H109" s="809"/>
      <c r="I109" s="791"/>
      <c r="J109" s="587">
        <f t="shared" si="3"/>
        <v>30</v>
      </c>
      <c r="L109" s="587"/>
    </row>
    <row r="110" spans="1:13" ht="19.5" thickBot="1">
      <c r="A110" s="587">
        <f t="shared" si="2"/>
        <v>31</v>
      </c>
      <c r="B110" s="794" t="s">
        <v>249</v>
      </c>
      <c r="G110" s="845">
        <f>G106+G108</f>
        <v>0.10404975937221624</v>
      </c>
      <c r="H110" s="843"/>
      <c r="I110" s="791" t="str">
        <f>"Line "&amp;A106&amp;" + Line "&amp;A108</f>
        <v>Line 27 + Line 29</v>
      </c>
      <c r="J110" s="587">
        <f t="shared" si="3"/>
        <v>31</v>
      </c>
      <c r="L110" s="846"/>
      <c r="M110" s="833"/>
    </row>
    <row r="111" spans="1:13" ht="16.5" thickTop="1">
      <c r="B111" s="794"/>
      <c r="G111" s="847"/>
      <c r="H111" s="847"/>
      <c r="I111" s="791"/>
      <c r="J111" s="587"/>
      <c r="L111" s="846"/>
      <c r="M111" s="833"/>
    </row>
    <row r="112" spans="1:13">
      <c r="B112" s="794"/>
      <c r="G112" s="847"/>
      <c r="H112" s="847"/>
      <c r="I112" s="791"/>
      <c r="J112" s="587"/>
      <c r="L112" s="846"/>
      <c r="M112" s="833"/>
    </row>
    <row r="113" spans="1:13" ht="18.75">
      <c r="A113" s="680">
        <v>1</v>
      </c>
      <c r="B113" s="6" t="s">
        <v>1021</v>
      </c>
      <c r="G113" s="847"/>
      <c r="H113" s="847"/>
      <c r="I113" s="791"/>
      <c r="J113" s="587"/>
      <c r="L113" s="846"/>
      <c r="M113" s="833"/>
    </row>
    <row r="114" spans="1:13" ht="18.75">
      <c r="A114" s="680"/>
      <c r="B114" s="6"/>
      <c r="G114" s="847"/>
      <c r="H114" s="847"/>
      <c r="I114" s="791"/>
      <c r="J114" s="587"/>
      <c r="L114" s="846"/>
      <c r="M114" s="833"/>
    </row>
    <row r="115" spans="1:13">
      <c r="A115" s="848"/>
      <c r="B115" s="1189"/>
      <c r="C115" s="849"/>
      <c r="D115" s="849"/>
      <c r="E115" s="849"/>
      <c r="F115" s="849"/>
      <c r="G115" s="850"/>
      <c r="H115" s="850"/>
      <c r="I115" s="851"/>
      <c r="J115" s="587"/>
    </row>
    <row r="116" spans="1:13">
      <c r="B116" s="1650" t="s">
        <v>17</v>
      </c>
      <c r="C116" s="1650"/>
      <c r="D116" s="1650"/>
      <c r="E116" s="1650"/>
      <c r="F116" s="1650"/>
      <c r="G116" s="1650"/>
      <c r="H116" s="1650"/>
      <c r="I116" s="1635"/>
    </row>
    <row r="117" spans="1:13">
      <c r="B117" s="1650" t="s">
        <v>224</v>
      </c>
      <c r="C117" s="1650"/>
      <c r="D117" s="1650"/>
      <c r="E117" s="1650"/>
      <c r="F117" s="1650"/>
      <c r="G117" s="1650"/>
      <c r="H117" s="1650"/>
      <c r="I117" s="1635"/>
    </row>
    <row r="118" spans="1:13">
      <c r="B118" s="1650" t="s">
        <v>225</v>
      </c>
      <c r="C118" s="1650"/>
      <c r="D118" s="1650"/>
      <c r="E118" s="1650"/>
      <c r="F118" s="1650"/>
      <c r="G118" s="1650"/>
      <c r="H118" s="1650"/>
      <c r="I118" s="1635"/>
    </row>
    <row r="119" spans="1:13">
      <c r="B119" s="1651" t="str">
        <f>B5</f>
        <v>Base Period &amp; True-Up Period 12 - Months Ending December 31, 2019</v>
      </c>
      <c r="C119" s="1651"/>
      <c r="D119" s="1651"/>
      <c r="E119" s="1651"/>
      <c r="F119" s="1651"/>
      <c r="G119" s="1651"/>
      <c r="H119" s="1651"/>
      <c r="I119" s="1637"/>
    </row>
    <row r="120" spans="1:13">
      <c r="B120" s="1652" t="s">
        <v>2</v>
      </c>
      <c r="C120" s="1653"/>
      <c r="D120" s="1653"/>
      <c r="E120" s="1653"/>
      <c r="F120" s="1653"/>
      <c r="G120" s="1653"/>
      <c r="H120" s="1653"/>
      <c r="I120" s="1653"/>
    </row>
    <row r="122" spans="1:13">
      <c r="A122" s="587" t="s">
        <v>3</v>
      </c>
      <c r="B122" s="1454"/>
      <c r="C122" s="1454"/>
      <c r="D122" s="1454"/>
      <c r="E122" s="1454"/>
      <c r="F122" s="1454"/>
      <c r="G122" s="1454"/>
      <c r="H122" s="1454"/>
      <c r="I122" s="791"/>
      <c r="J122" s="587" t="s">
        <v>3</v>
      </c>
    </row>
    <row r="123" spans="1:13">
      <c r="A123" s="445" t="s">
        <v>24</v>
      </c>
      <c r="B123" s="583"/>
      <c r="C123" s="583"/>
      <c r="D123" s="583"/>
      <c r="E123" s="583"/>
      <c r="F123" s="583"/>
      <c r="G123" s="1411" t="s">
        <v>123</v>
      </c>
      <c r="H123" s="1454"/>
      <c r="I123" s="1509" t="s">
        <v>8</v>
      </c>
      <c r="J123" s="445" t="s">
        <v>24</v>
      </c>
    </row>
    <row r="125" spans="1:13" ht="18.75">
      <c r="A125" s="587">
        <v>1</v>
      </c>
      <c r="B125" s="794" t="s">
        <v>948</v>
      </c>
      <c r="J125" s="587">
        <v>1</v>
      </c>
    </row>
    <row r="126" spans="1:13">
      <c r="A126" s="587">
        <f>A125+1</f>
        <v>2</v>
      </c>
      <c r="B126" s="822"/>
      <c r="J126" s="587">
        <f>J125+1</f>
        <v>2</v>
      </c>
    </row>
    <row r="127" spans="1:13">
      <c r="A127" s="587">
        <f>A126+1</f>
        <v>3</v>
      </c>
      <c r="B127" s="794" t="s">
        <v>241</v>
      </c>
      <c r="J127" s="587">
        <f>J126+1</f>
        <v>3</v>
      </c>
    </row>
    <row r="128" spans="1:13">
      <c r="A128" s="587">
        <f>A127+1</f>
        <v>4</v>
      </c>
      <c r="B128" s="1454"/>
      <c r="J128" s="587">
        <f>J127+1</f>
        <v>4</v>
      </c>
    </row>
    <row r="129" spans="1:10">
      <c r="A129" s="587">
        <f t="shared" ref="A129:A155" si="4">A128+1</f>
        <v>5</v>
      </c>
      <c r="B129" s="705" t="s">
        <v>242</v>
      </c>
      <c r="J129" s="587">
        <f t="shared" ref="J129:J155" si="5">J128+1</f>
        <v>5</v>
      </c>
    </row>
    <row r="130" spans="1:10">
      <c r="A130" s="587">
        <f t="shared" si="4"/>
        <v>6</v>
      </c>
      <c r="B130" s="1461" t="str">
        <f>B85</f>
        <v xml:space="preserve">     A = Sum of Preferred Stock and Return on Equity Component</v>
      </c>
      <c r="G130" s="824">
        <f>G65</f>
        <v>0</v>
      </c>
      <c r="I130" s="825" t="str">
        <f>"AV1; Line "&amp;A65</f>
        <v>AV1; Line 55</v>
      </c>
      <c r="J130" s="587">
        <f t="shared" si="5"/>
        <v>6</v>
      </c>
    </row>
    <row r="131" spans="1:10">
      <c r="A131" s="587">
        <f t="shared" si="4"/>
        <v>7</v>
      </c>
      <c r="B131" s="1461" t="str">
        <f>B86</f>
        <v xml:space="preserve">     B = Transmission Total Federal Tax Adjustments</v>
      </c>
      <c r="G131" s="1510">
        <v>0</v>
      </c>
      <c r="I131" s="790" t="s">
        <v>125</v>
      </c>
      <c r="J131" s="587">
        <f t="shared" si="5"/>
        <v>7</v>
      </c>
    </row>
    <row r="132" spans="1:10">
      <c r="A132" s="587">
        <f t="shared" si="4"/>
        <v>8</v>
      </c>
      <c r="B132" s="1461" t="s">
        <v>947</v>
      </c>
      <c r="G132" s="1541">
        <v>0</v>
      </c>
      <c r="I132" s="790" t="s">
        <v>125</v>
      </c>
      <c r="J132" s="587">
        <f t="shared" si="5"/>
        <v>8</v>
      </c>
    </row>
    <row r="133" spans="1:10">
      <c r="A133" s="587">
        <f t="shared" si="4"/>
        <v>9</v>
      </c>
      <c r="B133" s="1461" t="s">
        <v>916</v>
      </c>
      <c r="G133" s="1541">
        <v>0</v>
      </c>
      <c r="I133" s="790" t="s">
        <v>125</v>
      </c>
      <c r="J133" s="587">
        <f t="shared" si="5"/>
        <v>9</v>
      </c>
    </row>
    <row r="134" spans="1:10">
      <c r="A134" s="587">
        <f t="shared" si="4"/>
        <v>10</v>
      </c>
      <c r="B134" s="694" t="str">
        <f>B89</f>
        <v xml:space="preserve">     FT = Federal Income Tax Rate for Rate Effective Period</v>
      </c>
      <c r="G134" s="1511">
        <f>G89</f>
        <v>0.21</v>
      </c>
      <c r="I134" s="825" t="str">
        <f>"AV2; Line "&amp;A89</f>
        <v>AV2; Line 10</v>
      </c>
      <c r="J134" s="587">
        <f t="shared" si="5"/>
        <v>10</v>
      </c>
    </row>
    <row r="135" spans="1:10">
      <c r="A135" s="587">
        <f t="shared" si="4"/>
        <v>11</v>
      </c>
      <c r="B135" s="665"/>
      <c r="G135" s="587"/>
      <c r="J135" s="587">
        <f t="shared" si="5"/>
        <v>11</v>
      </c>
    </row>
    <row r="136" spans="1:10">
      <c r="A136" s="587">
        <f t="shared" si="4"/>
        <v>12</v>
      </c>
      <c r="B136" s="1461" t="s">
        <v>917</v>
      </c>
      <c r="G136" s="832">
        <f>IFERROR((((G130)+(G132/G133))*G134-(G131/G133))/(1-G134),0)</f>
        <v>0</v>
      </c>
      <c r="I136" s="825" t="s">
        <v>921</v>
      </c>
      <c r="J136" s="587">
        <f t="shared" si="5"/>
        <v>12</v>
      </c>
    </row>
    <row r="137" spans="1:10">
      <c r="A137" s="587">
        <f t="shared" si="4"/>
        <v>13</v>
      </c>
      <c r="B137" s="834" t="s">
        <v>541</v>
      </c>
      <c r="G137" s="1512"/>
      <c r="J137" s="587">
        <f t="shared" si="5"/>
        <v>13</v>
      </c>
    </row>
    <row r="138" spans="1:10">
      <c r="A138" s="587">
        <f t="shared" si="4"/>
        <v>14</v>
      </c>
      <c r="B138" s="665"/>
      <c r="G138" s="587"/>
      <c r="J138" s="587">
        <f t="shared" si="5"/>
        <v>14</v>
      </c>
    </row>
    <row r="139" spans="1:10">
      <c r="A139" s="587">
        <f t="shared" si="4"/>
        <v>15</v>
      </c>
      <c r="B139" s="794" t="s">
        <v>246</v>
      </c>
      <c r="G139" s="835"/>
      <c r="I139" s="836"/>
      <c r="J139" s="587">
        <f t="shared" si="5"/>
        <v>15</v>
      </c>
    </row>
    <row r="140" spans="1:10">
      <c r="A140" s="587">
        <f t="shared" si="4"/>
        <v>16</v>
      </c>
      <c r="B140" s="770"/>
      <c r="G140" s="835"/>
      <c r="I140" s="823"/>
      <c r="J140" s="587">
        <f t="shared" si="5"/>
        <v>16</v>
      </c>
    </row>
    <row r="141" spans="1:10">
      <c r="A141" s="587">
        <f t="shared" si="4"/>
        <v>17</v>
      </c>
      <c r="B141" s="705" t="s">
        <v>242</v>
      </c>
      <c r="G141" s="835"/>
      <c r="I141" s="823"/>
      <c r="J141" s="587">
        <f t="shared" si="5"/>
        <v>17</v>
      </c>
    </row>
    <row r="142" spans="1:10">
      <c r="A142" s="587">
        <f t="shared" si="4"/>
        <v>18</v>
      </c>
      <c r="B142" s="1461" t="str">
        <f>B97</f>
        <v xml:space="preserve">     A = Sum of Preferred Stock and Return on Equity Component</v>
      </c>
      <c r="G142" s="809">
        <f>G130</f>
        <v>0</v>
      </c>
      <c r="I142" s="825" t="str">
        <f>"Line "&amp;A130&amp;" Above"</f>
        <v>Line 6 Above</v>
      </c>
      <c r="J142" s="587">
        <f t="shared" si="5"/>
        <v>18</v>
      </c>
    </row>
    <row r="143" spans="1:10">
      <c r="A143" s="587">
        <f t="shared" si="4"/>
        <v>19</v>
      </c>
      <c r="B143" s="1461" t="str">
        <f>B98</f>
        <v xml:space="preserve">     B = Equity AFUDC Component of Transmission Depreciation Expense</v>
      </c>
      <c r="G143" s="592">
        <f>G132</f>
        <v>0</v>
      </c>
      <c r="I143" s="825" t="str">
        <f>"Line "&amp;A132&amp;" Above"</f>
        <v>Line 8 Above</v>
      </c>
      <c r="J143" s="587">
        <f t="shared" si="5"/>
        <v>19</v>
      </c>
    </row>
    <row r="144" spans="1:10">
      <c r="A144" s="587">
        <f t="shared" si="4"/>
        <v>20</v>
      </c>
      <c r="B144" s="1461" t="s">
        <v>918</v>
      </c>
      <c r="G144" s="592">
        <f>G133</f>
        <v>0</v>
      </c>
      <c r="I144" s="825" t="str">
        <f>"Line "&amp;A133&amp;" Above"</f>
        <v>Line 9 Above</v>
      </c>
      <c r="J144" s="587">
        <f t="shared" si="5"/>
        <v>20</v>
      </c>
    </row>
    <row r="145" spans="1:10">
      <c r="A145" s="587">
        <f t="shared" si="4"/>
        <v>21</v>
      </c>
      <c r="B145" s="1461" t="str">
        <f>B100</f>
        <v xml:space="preserve">     FT = Federal Income Tax Expense</v>
      </c>
      <c r="G145" s="840">
        <f>G136</f>
        <v>0</v>
      </c>
      <c r="I145" s="825" t="str">
        <f>"Line "&amp;A136&amp;" Above"</f>
        <v>Line 12 Above</v>
      </c>
      <c r="J145" s="587">
        <f t="shared" si="5"/>
        <v>21</v>
      </c>
    </row>
    <row r="146" spans="1:10">
      <c r="A146" s="587">
        <f t="shared" si="4"/>
        <v>22</v>
      </c>
      <c r="B146" s="694" t="str">
        <f>B101</f>
        <v xml:space="preserve">     ST = State Income Tax Rate for Rate Effective Period</v>
      </c>
      <c r="G146" s="1513" t="str">
        <f>G101</f>
        <v>8.84%</v>
      </c>
      <c r="I146" s="825" t="str">
        <f>"AV2; Line "&amp;A101</f>
        <v>AV2; Line 22</v>
      </c>
      <c r="J146" s="587">
        <f t="shared" si="5"/>
        <v>22</v>
      </c>
    </row>
    <row r="147" spans="1:10">
      <c r="A147" s="587">
        <f t="shared" si="4"/>
        <v>23</v>
      </c>
      <c r="B147" s="1456"/>
      <c r="G147" s="841"/>
      <c r="I147" s="838"/>
      <c r="J147" s="587">
        <f t="shared" si="5"/>
        <v>23</v>
      </c>
    </row>
    <row r="148" spans="1:10">
      <c r="A148" s="587">
        <f t="shared" si="4"/>
        <v>24</v>
      </c>
      <c r="B148" s="1461" t="s">
        <v>543</v>
      </c>
      <c r="G148" s="1514">
        <f>IFERROR(((G142)+(G143/G144)+G136)*G146/(1-G146),0)</f>
        <v>0</v>
      </c>
      <c r="I148" s="825" t="s">
        <v>258</v>
      </c>
      <c r="J148" s="587">
        <f t="shared" si="5"/>
        <v>24</v>
      </c>
    </row>
    <row r="149" spans="1:10">
      <c r="A149" s="587">
        <f t="shared" si="4"/>
        <v>25</v>
      </c>
      <c r="B149" s="834" t="s">
        <v>544</v>
      </c>
      <c r="G149" s="587"/>
      <c r="I149" s="791"/>
      <c r="J149" s="587">
        <f t="shared" si="5"/>
        <v>25</v>
      </c>
    </row>
    <row r="150" spans="1:10">
      <c r="A150" s="587">
        <f t="shared" si="4"/>
        <v>26</v>
      </c>
      <c r="B150" s="665"/>
      <c r="G150" s="587"/>
      <c r="I150" s="791"/>
      <c r="J150" s="587">
        <f t="shared" si="5"/>
        <v>26</v>
      </c>
    </row>
    <row r="151" spans="1:10">
      <c r="A151" s="587">
        <f t="shared" si="4"/>
        <v>27</v>
      </c>
      <c r="B151" s="794" t="s">
        <v>248</v>
      </c>
      <c r="G151" s="832">
        <f>G148+G136</f>
        <v>0</v>
      </c>
      <c r="I151" s="791" t="str">
        <f>"Line "&amp;A136&amp;" + Line "&amp;A148</f>
        <v>Line 12 + Line 24</v>
      </c>
      <c r="J151" s="587">
        <f t="shared" si="5"/>
        <v>27</v>
      </c>
    </row>
    <row r="152" spans="1:10">
      <c r="A152" s="587">
        <f t="shared" si="4"/>
        <v>28</v>
      </c>
      <c r="B152" s="665"/>
      <c r="G152" s="587"/>
      <c r="I152" s="791"/>
      <c r="J152" s="587">
        <f t="shared" si="5"/>
        <v>28</v>
      </c>
    </row>
    <row r="153" spans="1:10">
      <c r="A153" s="587">
        <f t="shared" si="4"/>
        <v>29</v>
      </c>
      <c r="B153" s="794" t="s">
        <v>919</v>
      </c>
      <c r="G153" s="1515">
        <f>G63</f>
        <v>0</v>
      </c>
      <c r="I153" s="825" t="str">
        <f>"AV1; Line "&amp;A63</f>
        <v>AV1; Line 53</v>
      </c>
      <c r="J153" s="587">
        <f t="shared" si="5"/>
        <v>29</v>
      </c>
    </row>
    <row r="154" spans="1:10">
      <c r="A154" s="587">
        <f t="shared" si="4"/>
        <v>30</v>
      </c>
      <c r="B154" s="665"/>
      <c r="G154" s="587"/>
      <c r="I154" s="791"/>
      <c r="J154" s="587">
        <f t="shared" si="5"/>
        <v>30</v>
      </c>
    </row>
    <row r="155" spans="1:10" ht="19.5" thickBot="1">
      <c r="A155" s="587">
        <f t="shared" si="4"/>
        <v>31</v>
      </c>
      <c r="B155" s="794" t="s">
        <v>920</v>
      </c>
      <c r="G155" s="1516">
        <f>G151+G153</f>
        <v>0</v>
      </c>
      <c r="I155" s="791" t="str">
        <f>"Line "&amp;A151&amp;" + Line "&amp;A153</f>
        <v>Line 27 + Line 29</v>
      </c>
      <c r="J155" s="587">
        <f t="shared" si="5"/>
        <v>31</v>
      </c>
    </row>
    <row r="156" spans="1:10" ht="16.5" thickTop="1">
      <c r="B156" s="1461"/>
    </row>
    <row r="157" spans="1:10">
      <c r="B157" s="1461"/>
    </row>
    <row r="158" spans="1:10" ht="18.75">
      <c r="A158" s="787"/>
      <c r="B158" s="1508"/>
    </row>
  </sheetData>
  <mergeCells count="15">
    <mergeCell ref="B116:I116"/>
    <mergeCell ref="B117:I117"/>
    <mergeCell ref="B118:I118"/>
    <mergeCell ref="B119:I119"/>
    <mergeCell ref="B120:I120"/>
    <mergeCell ref="B71:I71"/>
    <mergeCell ref="B72:I72"/>
    <mergeCell ref="B73:I73"/>
    <mergeCell ref="B74:I74"/>
    <mergeCell ref="B75:I75"/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5" fitToHeight="0" orientation="portrait" r:id="rId1"/>
  <headerFooter scaleWithDoc="0">
    <oddFooter>&amp;C&amp;"Times New Roman,Regular"&amp;10AV&amp;P</oddFooter>
  </headerFooter>
  <rowBreaks count="2" manualBreakCount="2">
    <brk id="69" max="9" man="1"/>
    <brk id="114" max="9" man="1"/>
  </rowBreaks>
  <colBreaks count="1" manualBreakCount="1">
    <brk id="10" max="1048575" man="1"/>
  </colBreaks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2:D67"/>
  <sheetViews>
    <sheetView zoomScale="80" zoomScaleNormal="80" zoomScalePageLayoutView="80" workbookViewId="0">
      <selection activeCell="B7" sqref="B7:C7"/>
    </sheetView>
  </sheetViews>
  <sheetFormatPr defaultColWidth="8.85546875" defaultRowHeight="15.75"/>
  <cols>
    <col min="1" max="1" width="5.140625" style="5" customWidth="1"/>
    <col min="2" max="2" width="62.42578125" style="4" customWidth="1"/>
    <col min="3" max="3" width="35.85546875" style="4" customWidth="1"/>
    <col min="4" max="4" width="5.140625" style="5" customWidth="1"/>
    <col min="5" max="16384" width="8.85546875" style="4"/>
  </cols>
  <sheetData>
    <row r="2" spans="1:4" ht="15.6" customHeight="1">
      <c r="B2" s="1673" t="s">
        <v>17</v>
      </c>
      <c r="C2" s="1673"/>
    </row>
    <row r="3" spans="1:4" ht="15.6" customHeight="1">
      <c r="B3" s="1635" t="s">
        <v>260</v>
      </c>
      <c r="C3" s="1635"/>
    </row>
    <row r="4" spans="1:4" ht="15.6" customHeight="1">
      <c r="B4" s="1673" t="str">
        <f>"For Completed Transmission Capital Projects from 2001 Through "&amp;Automation!B3</f>
        <v>For Completed Transmission Capital Projects from 2001 Through 2019</v>
      </c>
      <c r="C4" s="1673"/>
    </row>
    <row r="5" spans="1:4">
      <c r="B5" s="1635" t="str">
        <f>"Applicable to the "&amp;Automation!B3&amp;" Cycle "&amp;Automation!B2&amp;" Base Period &amp; True-Up Period"</f>
        <v>Applicable to the 2019 Cycle 3 Base Period &amp; True-Up Period</v>
      </c>
      <c r="C5" s="1635"/>
      <c r="D5" s="587"/>
    </row>
    <row r="6" spans="1:4" ht="15.6" customHeight="1">
      <c r="B6" s="1673" t="str">
        <f>" 12 Months Ending December 31, "&amp;Automation!$B$3</f>
        <v xml:space="preserve"> 12 Months Ending December 31, 2019</v>
      </c>
      <c r="C6" s="1673"/>
    </row>
    <row r="7" spans="1:4" ht="17.45" customHeight="1">
      <c r="B7" s="1672">
        <v>-1000</v>
      </c>
      <c r="C7" s="1672"/>
      <c r="D7" s="7"/>
    </row>
    <row r="8" spans="1:4" ht="17.45" customHeight="1" thickBot="1">
      <c r="B8" s="1192"/>
      <c r="C8" s="1192"/>
      <c r="D8" s="7"/>
    </row>
    <row r="9" spans="1:4" ht="17.45" customHeight="1">
      <c r="B9" s="948"/>
      <c r="C9" s="950" t="s">
        <v>585</v>
      </c>
      <c r="D9" s="7"/>
    </row>
    <row r="10" spans="1:4" ht="17.45" customHeight="1">
      <c r="A10" s="1301" t="s">
        <v>3</v>
      </c>
      <c r="B10" s="949"/>
      <c r="C10" s="951" t="s">
        <v>586</v>
      </c>
      <c r="D10" s="1301" t="s">
        <v>3</v>
      </c>
    </row>
    <row r="11" spans="1:4" ht="19.5" thickBot="1">
      <c r="A11" s="1302" t="s">
        <v>24</v>
      </c>
      <c r="B11" s="946" t="s">
        <v>546</v>
      </c>
      <c r="C11" s="947" t="s">
        <v>647</v>
      </c>
      <c r="D11" s="1303" t="s">
        <v>24</v>
      </c>
    </row>
    <row r="12" spans="1:4" s="11" customFormat="1">
      <c r="B12" s="945"/>
      <c r="C12" s="855"/>
    </row>
    <row r="13" spans="1:4">
      <c r="A13" s="1304">
        <v>1</v>
      </c>
      <c r="B13" s="159">
        <v>2001</v>
      </c>
      <c r="C13" s="1110">
        <v>65.87148999999998</v>
      </c>
      <c r="D13" s="1305">
        <f>A13</f>
        <v>1</v>
      </c>
    </row>
    <row r="14" spans="1:4">
      <c r="A14" s="448">
        <f>A13+1</f>
        <v>2</v>
      </c>
      <c r="B14" s="159"/>
      <c r="C14" s="1306"/>
      <c r="D14" s="488">
        <f>D13+1</f>
        <v>2</v>
      </c>
    </row>
    <row r="15" spans="1:4">
      <c r="A15" s="448">
        <f t="shared" ref="A15:A57" si="0">A14+1</f>
        <v>3</v>
      </c>
      <c r="B15" s="159">
        <v>2002</v>
      </c>
      <c r="C15" s="903">
        <v>7.3222099999999983</v>
      </c>
      <c r="D15" s="488">
        <f t="shared" ref="D15:D57" si="1">D14+1</f>
        <v>3</v>
      </c>
    </row>
    <row r="16" spans="1:4">
      <c r="A16" s="448">
        <f t="shared" si="0"/>
        <v>4</v>
      </c>
      <c r="B16" s="159"/>
      <c r="C16" s="1307"/>
      <c r="D16" s="488">
        <f t="shared" si="1"/>
        <v>4</v>
      </c>
    </row>
    <row r="17" spans="1:4" ht="16.5" thickBot="1">
      <c r="A17" s="448">
        <f t="shared" si="0"/>
        <v>5</v>
      </c>
      <c r="B17" s="1308">
        <v>2003</v>
      </c>
      <c r="C17" s="1111">
        <v>34.851430000000022</v>
      </c>
      <c r="D17" s="488">
        <f t="shared" si="1"/>
        <v>5</v>
      </c>
    </row>
    <row r="18" spans="1:4">
      <c r="A18" s="448">
        <f t="shared" si="0"/>
        <v>6</v>
      </c>
      <c r="B18" s="1309"/>
      <c r="C18" s="902"/>
      <c r="D18" s="488">
        <f t="shared" si="1"/>
        <v>6</v>
      </c>
    </row>
    <row r="19" spans="1:4">
      <c r="A19" s="448">
        <f t="shared" si="0"/>
        <v>7</v>
      </c>
      <c r="B19" s="159">
        <v>2004</v>
      </c>
      <c r="C19" s="903">
        <v>46.179600000000015</v>
      </c>
      <c r="D19" s="488">
        <f t="shared" si="1"/>
        <v>7</v>
      </c>
    </row>
    <row r="20" spans="1:4">
      <c r="A20" s="448">
        <f t="shared" si="0"/>
        <v>8</v>
      </c>
      <c r="B20" s="159"/>
      <c r="C20" s="903"/>
      <c r="D20" s="488">
        <f t="shared" si="1"/>
        <v>8</v>
      </c>
    </row>
    <row r="21" spans="1:4">
      <c r="A21" s="448">
        <f t="shared" si="0"/>
        <v>9</v>
      </c>
      <c r="B21" s="159">
        <v>2005</v>
      </c>
      <c r="C21" s="903">
        <v>63.583070000000021</v>
      </c>
      <c r="D21" s="488">
        <f t="shared" si="1"/>
        <v>9</v>
      </c>
    </row>
    <row r="22" spans="1:4">
      <c r="A22" s="448">
        <f t="shared" si="0"/>
        <v>10</v>
      </c>
      <c r="B22" s="159"/>
      <c r="C22" s="903"/>
      <c r="D22" s="488">
        <f t="shared" si="1"/>
        <v>10</v>
      </c>
    </row>
    <row r="23" spans="1:4" ht="16.5" thickBot="1">
      <c r="A23" s="448">
        <f t="shared" si="0"/>
        <v>11</v>
      </c>
      <c r="B23" s="1308">
        <v>2006</v>
      </c>
      <c r="C23" s="903">
        <v>119.91687999999999</v>
      </c>
      <c r="D23" s="488">
        <f t="shared" si="1"/>
        <v>11</v>
      </c>
    </row>
    <row r="24" spans="1:4">
      <c r="A24" s="448">
        <f t="shared" si="0"/>
        <v>12</v>
      </c>
      <c r="B24" s="1309"/>
      <c r="C24" s="902"/>
      <c r="D24" s="488">
        <f t="shared" si="1"/>
        <v>12</v>
      </c>
    </row>
    <row r="25" spans="1:4">
      <c r="A25" s="448">
        <f t="shared" si="0"/>
        <v>13</v>
      </c>
      <c r="B25" s="159">
        <v>2007</v>
      </c>
      <c r="C25" s="903">
        <v>368.32197000000025</v>
      </c>
      <c r="D25" s="488">
        <f t="shared" si="1"/>
        <v>13</v>
      </c>
    </row>
    <row r="26" spans="1:4">
      <c r="A26" s="448">
        <f t="shared" si="0"/>
        <v>14</v>
      </c>
      <c r="B26" s="159"/>
      <c r="C26" s="903"/>
      <c r="D26" s="488">
        <f t="shared" si="1"/>
        <v>14</v>
      </c>
    </row>
    <row r="27" spans="1:4">
      <c r="A27" s="448">
        <f t="shared" si="0"/>
        <v>15</v>
      </c>
      <c r="B27" s="159">
        <v>2008</v>
      </c>
      <c r="C27" s="903">
        <v>355.20701999999983</v>
      </c>
      <c r="D27" s="488">
        <f t="shared" si="1"/>
        <v>15</v>
      </c>
    </row>
    <row r="28" spans="1:4">
      <c r="A28" s="448">
        <f t="shared" si="0"/>
        <v>16</v>
      </c>
      <c r="B28" s="159"/>
      <c r="C28" s="903"/>
      <c r="D28" s="488">
        <f t="shared" si="1"/>
        <v>16</v>
      </c>
    </row>
    <row r="29" spans="1:4" ht="16.5" thickBot="1">
      <c r="A29" s="448">
        <f t="shared" si="0"/>
        <v>17</v>
      </c>
      <c r="B29" s="1308">
        <v>2009</v>
      </c>
      <c r="C29" s="1111">
        <v>98.428469999999933</v>
      </c>
      <c r="D29" s="488">
        <f t="shared" si="1"/>
        <v>17</v>
      </c>
    </row>
    <row r="30" spans="1:4">
      <c r="A30" s="448">
        <f t="shared" si="0"/>
        <v>18</v>
      </c>
      <c r="B30" s="159"/>
      <c r="C30" s="903"/>
      <c r="D30" s="488">
        <f t="shared" si="1"/>
        <v>18</v>
      </c>
    </row>
    <row r="31" spans="1:4">
      <c r="A31" s="448">
        <f t="shared" si="0"/>
        <v>19</v>
      </c>
      <c r="B31" s="159">
        <v>2010</v>
      </c>
      <c r="C31" s="903">
        <v>134.75474999999994</v>
      </c>
      <c r="D31" s="488">
        <f t="shared" si="1"/>
        <v>19</v>
      </c>
    </row>
    <row r="32" spans="1:4">
      <c r="A32" s="448">
        <f t="shared" si="0"/>
        <v>20</v>
      </c>
      <c r="B32" s="159"/>
      <c r="C32" s="903"/>
      <c r="D32" s="488">
        <f t="shared" si="1"/>
        <v>20</v>
      </c>
    </row>
    <row r="33" spans="1:4">
      <c r="A33" s="448">
        <f t="shared" si="0"/>
        <v>21</v>
      </c>
      <c r="B33" s="159">
        <v>2011</v>
      </c>
      <c r="C33" s="903">
        <v>166.37738999999991</v>
      </c>
      <c r="D33" s="488">
        <f t="shared" si="1"/>
        <v>21</v>
      </c>
    </row>
    <row r="34" spans="1:4">
      <c r="A34" s="448">
        <f t="shared" si="0"/>
        <v>22</v>
      </c>
      <c r="B34" s="159"/>
      <c r="C34" s="903"/>
      <c r="D34" s="488">
        <f t="shared" si="1"/>
        <v>22</v>
      </c>
    </row>
    <row r="35" spans="1:4" ht="16.5" thickBot="1">
      <c r="A35" s="448">
        <f t="shared" si="0"/>
        <v>23</v>
      </c>
      <c r="B35" s="1308">
        <v>2012</v>
      </c>
      <c r="C35" s="1111">
        <v>1607.5950999999995</v>
      </c>
      <c r="D35" s="488">
        <f t="shared" si="1"/>
        <v>23</v>
      </c>
    </row>
    <row r="36" spans="1:4">
      <c r="A36" s="448">
        <f t="shared" si="0"/>
        <v>24</v>
      </c>
      <c r="B36" s="159"/>
      <c r="C36" s="903"/>
      <c r="D36" s="488">
        <f t="shared" si="1"/>
        <v>24</v>
      </c>
    </row>
    <row r="37" spans="1:4">
      <c r="A37" s="448">
        <f t="shared" si="0"/>
        <v>25</v>
      </c>
      <c r="B37" s="159">
        <v>2013</v>
      </c>
      <c r="C37" s="903">
        <v>1308.7668299999996</v>
      </c>
      <c r="D37" s="488">
        <f t="shared" si="1"/>
        <v>25</v>
      </c>
    </row>
    <row r="38" spans="1:4">
      <c r="A38" s="448">
        <f t="shared" si="0"/>
        <v>26</v>
      </c>
      <c r="B38" s="159"/>
      <c r="C38" s="903"/>
      <c r="D38" s="488">
        <f t="shared" si="1"/>
        <v>26</v>
      </c>
    </row>
    <row r="39" spans="1:4">
      <c r="A39" s="448">
        <f t="shared" si="0"/>
        <v>27</v>
      </c>
      <c r="B39" s="159">
        <v>2014</v>
      </c>
      <c r="C39" s="903">
        <v>171.93982000000042</v>
      </c>
      <c r="D39" s="488">
        <f t="shared" si="1"/>
        <v>27</v>
      </c>
    </row>
    <row r="40" spans="1:4">
      <c r="A40" s="448">
        <f t="shared" si="0"/>
        <v>28</v>
      </c>
      <c r="B40" s="159"/>
      <c r="C40" s="903"/>
      <c r="D40" s="488">
        <f t="shared" si="1"/>
        <v>28</v>
      </c>
    </row>
    <row r="41" spans="1:4" ht="16.5" thickBot="1">
      <c r="A41" s="448">
        <f t="shared" si="0"/>
        <v>29</v>
      </c>
      <c r="B41" s="1564">
        <v>2015</v>
      </c>
      <c r="C41" s="1111">
        <v>249.0754499999999</v>
      </c>
      <c r="D41" s="488">
        <f t="shared" si="1"/>
        <v>29</v>
      </c>
    </row>
    <row r="42" spans="1:4">
      <c r="A42" s="448">
        <f t="shared" si="0"/>
        <v>30</v>
      </c>
      <c r="B42" s="159"/>
      <c r="C42" s="903"/>
      <c r="D42" s="488">
        <f t="shared" si="1"/>
        <v>30</v>
      </c>
    </row>
    <row r="43" spans="1:4">
      <c r="A43" s="448">
        <f t="shared" si="0"/>
        <v>31</v>
      </c>
      <c r="B43" s="159">
        <v>2016</v>
      </c>
      <c r="C43" s="903">
        <v>422.48445000000015</v>
      </c>
      <c r="D43" s="488">
        <f t="shared" si="1"/>
        <v>31</v>
      </c>
    </row>
    <row r="44" spans="1:4">
      <c r="A44" s="448">
        <f t="shared" si="0"/>
        <v>32</v>
      </c>
      <c r="B44" s="159"/>
      <c r="C44" s="903"/>
      <c r="D44" s="488">
        <f t="shared" si="1"/>
        <v>32</v>
      </c>
    </row>
    <row r="45" spans="1:4">
      <c r="A45" s="448">
        <f t="shared" si="0"/>
        <v>33</v>
      </c>
      <c r="B45" s="159">
        <v>2017</v>
      </c>
      <c r="C45" s="903">
        <v>918.51061000000232</v>
      </c>
      <c r="D45" s="488">
        <f t="shared" si="1"/>
        <v>33</v>
      </c>
    </row>
    <row r="46" spans="1:4">
      <c r="A46" s="448">
        <f t="shared" si="0"/>
        <v>34</v>
      </c>
      <c r="B46" s="159"/>
      <c r="C46" s="1561"/>
      <c r="D46" s="488">
        <f t="shared" si="1"/>
        <v>34</v>
      </c>
    </row>
    <row r="47" spans="1:4" ht="16.5" thickBot="1">
      <c r="A47" s="448">
        <f t="shared" si="0"/>
        <v>35</v>
      </c>
      <c r="B47" s="1597">
        <v>2018</v>
      </c>
      <c r="C47" s="1598">
        <v>1090.1382000000015</v>
      </c>
      <c r="D47" s="488">
        <f t="shared" si="1"/>
        <v>35</v>
      </c>
    </row>
    <row r="48" spans="1:4">
      <c r="A48" s="448">
        <f t="shared" si="0"/>
        <v>36</v>
      </c>
      <c r="B48" s="1562"/>
      <c r="C48" s="1563"/>
      <c r="D48" s="488">
        <f t="shared" si="1"/>
        <v>36</v>
      </c>
    </row>
    <row r="49" spans="1:4">
      <c r="A49" s="448">
        <f t="shared" si="0"/>
        <v>37</v>
      </c>
      <c r="B49" s="1562">
        <v>2019</v>
      </c>
      <c r="C49" s="1563">
        <v>262.4113000000001</v>
      </c>
      <c r="D49" s="488">
        <f t="shared" si="1"/>
        <v>37</v>
      </c>
    </row>
    <row r="50" spans="1:4">
      <c r="A50" s="448">
        <f t="shared" si="0"/>
        <v>38</v>
      </c>
      <c r="B50" s="159"/>
      <c r="C50" s="1310"/>
      <c r="D50" s="488">
        <f t="shared" si="1"/>
        <v>38</v>
      </c>
    </row>
    <row r="51" spans="1:4">
      <c r="A51" s="448">
        <f t="shared" si="0"/>
        <v>39</v>
      </c>
      <c r="B51" s="159"/>
      <c r="C51" s="1311"/>
      <c r="D51" s="488">
        <f t="shared" si="1"/>
        <v>39</v>
      </c>
    </row>
    <row r="52" spans="1:4">
      <c r="A52" s="448">
        <f t="shared" si="0"/>
        <v>40</v>
      </c>
      <c r="B52" s="159" t="s">
        <v>30</v>
      </c>
      <c r="C52" s="1312">
        <f>SUM(C13:C51)</f>
        <v>7491.7360400000025</v>
      </c>
      <c r="D52" s="488">
        <f t="shared" si="1"/>
        <v>40</v>
      </c>
    </row>
    <row r="53" spans="1:4">
      <c r="A53" s="448">
        <f t="shared" si="0"/>
        <v>41</v>
      </c>
      <c r="B53" s="159"/>
      <c r="C53" s="1312"/>
      <c r="D53" s="488">
        <f t="shared" si="1"/>
        <v>41</v>
      </c>
    </row>
    <row r="54" spans="1:4">
      <c r="A54" s="448">
        <f t="shared" si="0"/>
        <v>42</v>
      </c>
      <c r="B54" s="159" t="s">
        <v>829</v>
      </c>
      <c r="C54" s="1599">
        <f>-'AV-2B'!C19</f>
        <v>-56.027447560000006</v>
      </c>
      <c r="D54" s="488">
        <f t="shared" si="1"/>
        <v>42</v>
      </c>
    </row>
    <row r="55" spans="1:4">
      <c r="A55" s="448">
        <f t="shared" si="0"/>
        <v>43</v>
      </c>
      <c r="B55" s="159"/>
      <c r="C55" s="1312"/>
      <c r="D55" s="488">
        <f t="shared" si="1"/>
        <v>43</v>
      </c>
    </row>
    <row r="56" spans="1:4" ht="32.25" thickBot="1">
      <c r="A56" s="448">
        <f t="shared" si="0"/>
        <v>44</v>
      </c>
      <c r="B56" s="1313" t="s">
        <v>784</v>
      </c>
      <c r="C56" s="1314">
        <f>SUM(C52:C54)</f>
        <v>7435.7085924400026</v>
      </c>
      <c r="D56" s="488">
        <f t="shared" si="1"/>
        <v>44</v>
      </c>
    </row>
    <row r="57" spans="1:4" ht="17.25" thickTop="1" thickBot="1">
      <c r="A57" s="448">
        <f t="shared" si="0"/>
        <v>45</v>
      </c>
      <c r="B57" s="1315"/>
      <c r="C57" s="1316"/>
      <c r="D57" s="488">
        <f t="shared" si="1"/>
        <v>45</v>
      </c>
    </row>
    <row r="60" spans="1:4" ht="18.75">
      <c r="A60" s="680">
        <v>1</v>
      </c>
      <c r="B60" s="1317" t="s">
        <v>662</v>
      </c>
    </row>
    <row r="61" spans="1:4" ht="18.75">
      <c r="A61" s="680"/>
      <c r="B61" s="4" t="s">
        <v>663</v>
      </c>
    </row>
    <row r="62" spans="1:4" ht="18.75">
      <c r="A62" s="680"/>
      <c r="B62" s="1317" t="s">
        <v>664</v>
      </c>
    </row>
    <row r="63" spans="1:4">
      <c r="A63" s="4"/>
      <c r="B63" s="1317"/>
    </row>
    <row r="64" spans="1:4">
      <c r="A64" s="4"/>
    </row>
    <row r="65" spans="1:1">
      <c r="A65" s="4"/>
    </row>
    <row r="67" spans="1:1" ht="18.75">
      <c r="A67" s="105"/>
    </row>
  </sheetData>
  <mergeCells count="6">
    <mergeCell ref="B7:C7"/>
    <mergeCell ref="B2:C2"/>
    <mergeCell ref="B3:C3"/>
    <mergeCell ref="B4:C4"/>
    <mergeCell ref="B5:C5"/>
    <mergeCell ref="B6:C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Roman,Regular"&amp;10&amp;A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E28"/>
  <sheetViews>
    <sheetView zoomScale="80" zoomScaleNormal="80" zoomScalePageLayoutView="80" workbookViewId="0">
      <selection activeCell="C7" sqref="C7"/>
    </sheetView>
  </sheetViews>
  <sheetFormatPr defaultColWidth="8.85546875" defaultRowHeight="15.75"/>
  <cols>
    <col min="1" max="1" width="5.140625" style="397" bestFit="1" customWidth="1"/>
    <col min="2" max="2" width="83.140625" style="397" bestFit="1" customWidth="1"/>
    <col min="3" max="3" width="18.5703125" style="397" customWidth="1"/>
    <col min="4" max="4" width="34.5703125" style="397" customWidth="1"/>
    <col min="5" max="5" width="5.140625" style="587" bestFit="1" customWidth="1"/>
    <col min="6" max="16384" width="8.85546875" style="397"/>
  </cols>
  <sheetData>
    <row r="1" spans="1:5">
      <c r="A1" s="587"/>
    </row>
    <row r="2" spans="1:5">
      <c r="B2" s="1635" t="s">
        <v>17</v>
      </c>
      <c r="C2" s="1635"/>
      <c r="D2" s="1635"/>
      <c r="E2" s="1182"/>
    </row>
    <row r="3" spans="1:5">
      <c r="B3" s="1635" t="str">
        <f>"TO"&amp;Automation!$B$1&amp;"-Cycle "&amp;Automation!$B$2&amp;" Annual Transmission Formula Filing"</f>
        <v>TO5-Cycle 3 Annual Transmission Formula Filing</v>
      </c>
      <c r="C3" s="1635"/>
      <c r="D3" s="1635"/>
      <c r="E3" s="1182"/>
    </row>
    <row r="4" spans="1:5">
      <c r="B4" s="1635" t="s">
        <v>547</v>
      </c>
      <c r="C4" s="1635"/>
      <c r="D4" s="1635"/>
      <c r="E4" s="1182"/>
    </row>
    <row r="5" spans="1:5">
      <c r="B5" s="1635" t="str">
        <f>" 12 Months Ending December 31, "&amp;Automation!$B$3</f>
        <v xml:space="preserve"> 12 Months Ending December 31, 2019</v>
      </c>
      <c r="C5" s="1635"/>
      <c r="D5" s="1635"/>
    </row>
    <row r="6" spans="1:5">
      <c r="B6" s="1674">
        <v>-1000</v>
      </c>
      <c r="C6" s="1674"/>
      <c r="D6" s="1674"/>
      <c r="E6" s="668"/>
    </row>
    <row r="7" spans="1:5" ht="16.5" thickBot="1">
      <c r="A7" s="587"/>
      <c r="C7" s="587"/>
    </row>
    <row r="8" spans="1:5">
      <c r="A8" s="445" t="s">
        <v>3</v>
      </c>
      <c r="B8" s="1318"/>
      <c r="C8" s="1319"/>
      <c r="D8" s="1320"/>
      <c r="E8" s="445" t="s">
        <v>3</v>
      </c>
    </row>
    <row r="9" spans="1:5" ht="16.5" thickBot="1">
      <c r="A9" s="445" t="s">
        <v>24</v>
      </c>
      <c r="B9" s="1321" t="s">
        <v>71</v>
      </c>
      <c r="C9" s="1322" t="s">
        <v>123</v>
      </c>
      <c r="D9" s="1323" t="s">
        <v>8</v>
      </c>
      <c r="E9" s="445" t="s">
        <v>24</v>
      </c>
    </row>
    <row r="10" spans="1:5">
      <c r="A10" s="940"/>
      <c r="B10" s="1324"/>
      <c r="C10" s="447"/>
      <c r="D10" s="1325"/>
      <c r="E10" s="940"/>
    </row>
    <row r="11" spans="1:5">
      <c r="A11" s="445">
        <v>1</v>
      </c>
      <c r="B11" s="1326" t="s">
        <v>785</v>
      </c>
      <c r="C11" s="314">
        <v>2282.4870000000001</v>
      </c>
      <c r="D11" s="480"/>
      <c r="E11" s="445">
        <f>A11</f>
        <v>1</v>
      </c>
    </row>
    <row r="12" spans="1:5">
      <c r="A12" s="445">
        <f>A11+1</f>
        <v>2</v>
      </c>
      <c r="B12" s="1326"/>
      <c r="C12" s="314"/>
      <c r="D12" s="480"/>
      <c r="E12" s="445">
        <f>E11+1</f>
        <v>2</v>
      </c>
    </row>
    <row r="13" spans="1:5">
      <c r="A13" s="445">
        <f t="shared" ref="A13:A28" si="0">A12+1</f>
        <v>3</v>
      </c>
      <c r="B13" s="1326" t="s">
        <v>926</v>
      </c>
      <c r="C13" s="1327">
        <v>0.73640000000000005</v>
      </c>
      <c r="D13" s="480"/>
      <c r="E13" s="445">
        <f t="shared" ref="E13:E28" si="1">E12+1</f>
        <v>3</v>
      </c>
    </row>
    <row r="14" spans="1:5">
      <c r="A14" s="445">
        <f t="shared" si="0"/>
        <v>4</v>
      </c>
      <c r="B14" s="1326"/>
      <c r="C14" s="1328"/>
      <c r="D14" s="480"/>
      <c r="E14" s="445">
        <f t="shared" si="1"/>
        <v>4</v>
      </c>
    </row>
    <row r="15" spans="1:5">
      <c r="A15" s="445">
        <f t="shared" si="0"/>
        <v>5</v>
      </c>
      <c r="B15" s="1326" t="s">
        <v>786</v>
      </c>
      <c r="C15" s="315">
        <f>C11*C13</f>
        <v>1680.8234268000001</v>
      </c>
      <c r="D15" s="448" t="str">
        <f>"Line "&amp;A11&amp;" x Line "&amp;A13</f>
        <v>Line 1 x Line 3</v>
      </c>
      <c r="E15" s="445">
        <f t="shared" si="1"/>
        <v>5</v>
      </c>
    </row>
    <row r="16" spans="1:5">
      <c r="A16" s="445">
        <f t="shared" si="0"/>
        <v>6</v>
      </c>
      <c r="B16" s="1326"/>
      <c r="C16" s="1329"/>
      <c r="D16" s="448"/>
      <c r="E16" s="445">
        <f t="shared" si="1"/>
        <v>6</v>
      </c>
    </row>
    <row r="17" spans="1:5">
      <c r="A17" s="445">
        <f t="shared" si="0"/>
        <v>7</v>
      </c>
      <c r="B17" s="1326" t="s">
        <v>261</v>
      </c>
      <c r="C17" s="1330">
        <f>1/30</f>
        <v>3.3333333333333333E-2</v>
      </c>
      <c r="D17" s="448" t="s">
        <v>262</v>
      </c>
      <c r="E17" s="445">
        <f t="shared" si="1"/>
        <v>7</v>
      </c>
    </row>
    <row r="18" spans="1:5">
      <c r="A18" s="445">
        <f t="shared" si="0"/>
        <v>8</v>
      </c>
      <c r="B18" s="1326"/>
      <c r="C18" s="1331"/>
      <c r="D18" s="448"/>
      <c r="E18" s="445">
        <f t="shared" si="1"/>
        <v>8</v>
      </c>
    </row>
    <row r="19" spans="1:5" ht="16.5" thickBot="1">
      <c r="A19" s="445">
        <f t="shared" si="0"/>
        <v>9</v>
      </c>
      <c r="B19" s="1332" t="s">
        <v>263</v>
      </c>
      <c r="C19" s="530">
        <f>C15*C17</f>
        <v>56.027447560000006</v>
      </c>
      <c r="D19" s="448" t="str">
        <f>"Line "&amp;A15&amp;" x Line "&amp;A17</f>
        <v>Line 5 x Line 7</v>
      </c>
      <c r="E19" s="445">
        <f t="shared" si="1"/>
        <v>9</v>
      </c>
    </row>
    <row r="20" spans="1:5" ht="16.5" thickTop="1">
      <c r="A20" s="445">
        <f t="shared" si="0"/>
        <v>10</v>
      </c>
      <c r="B20" s="1326"/>
      <c r="C20" s="1333"/>
      <c r="D20" s="480"/>
      <c r="E20" s="445">
        <f t="shared" si="1"/>
        <v>10</v>
      </c>
    </row>
    <row r="21" spans="1:5">
      <c r="A21" s="445">
        <f t="shared" si="0"/>
        <v>11</v>
      </c>
      <c r="B21" s="1326" t="s">
        <v>301</v>
      </c>
      <c r="C21" s="1330">
        <v>0.27983599999999997</v>
      </c>
      <c r="D21" s="480"/>
      <c r="E21" s="445">
        <f t="shared" si="1"/>
        <v>11</v>
      </c>
    </row>
    <row r="22" spans="1:5">
      <c r="A22" s="445">
        <f t="shared" si="0"/>
        <v>12</v>
      </c>
      <c r="B22" s="1326"/>
      <c r="C22" s="1334"/>
      <c r="D22" s="480"/>
      <c r="E22" s="445">
        <f t="shared" si="1"/>
        <v>12</v>
      </c>
    </row>
    <row r="23" spans="1:5">
      <c r="A23" s="445">
        <f t="shared" si="0"/>
        <v>13</v>
      </c>
      <c r="B23" s="1326" t="s">
        <v>302</v>
      </c>
      <c r="C23" s="315">
        <f>C19*C21</f>
        <v>15.678496815400161</v>
      </c>
      <c r="D23" s="448" t="str">
        <f>"Line "&amp;A19&amp;" x Line "&amp;A21</f>
        <v>Line 9 x Line 11</v>
      </c>
      <c r="E23" s="445">
        <f t="shared" si="1"/>
        <v>13</v>
      </c>
    </row>
    <row r="24" spans="1:5">
      <c r="A24" s="445">
        <f t="shared" si="0"/>
        <v>14</v>
      </c>
      <c r="B24" s="1326"/>
      <c r="C24" s="1334"/>
      <c r="D24" s="480"/>
      <c r="E24" s="445">
        <f t="shared" si="1"/>
        <v>14</v>
      </c>
    </row>
    <row r="25" spans="1:5">
      <c r="A25" s="445">
        <f t="shared" si="0"/>
        <v>15</v>
      </c>
      <c r="B25" s="1326" t="s">
        <v>303</v>
      </c>
      <c r="C25" s="1335">
        <v>1.3885726029071155</v>
      </c>
      <c r="D25" s="480"/>
      <c r="E25" s="445">
        <f t="shared" si="1"/>
        <v>15</v>
      </c>
    </row>
    <row r="26" spans="1:5">
      <c r="A26" s="445">
        <f t="shared" si="0"/>
        <v>16</v>
      </c>
      <c r="B26" s="1326"/>
      <c r="C26" s="1334"/>
      <c r="D26" s="480"/>
      <c r="E26" s="445">
        <f t="shared" si="1"/>
        <v>16</v>
      </c>
    </row>
    <row r="27" spans="1:5" ht="16.5" thickBot="1">
      <c r="A27" s="445">
        <f t="shared" si="0"/>
        <v>17</v>
      </c>
      <c r="B27" s="1332" t="s">
        <v>304</v>
      </c>
      <c r="C27" s="530">
        <f>C23*C25</f>
        <v>21.770731132631123</v>
      </c>
      <c r="D27" s="448" t="str">
        <f>"Line "&amp;A23&amp;" x Line "&amp;A25</f>
        <v>Line 13 x Line 15</v>
      </c>
      <c r="E27" s="445">
        <f t="shared" si="1"/>
        <v>17</v>
      </c>
    </row>
    <row r="28" spans="1:5" ht="17.25" thickTop="1" thickBot="1">
      <c r="A28" s="445">
        <f t="shared" si="0"/>
        <v>18</v>
      </c>
      <c r="B28" s="1336"/>
      <c r="C28" s="1293"/>
      <c r="D28" s="477"/>
      <c r="E28" s="445">
        <f t="shared" si="1"/>
        <v>18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6" orientation="landscape" r:id="rId1"/>
  <headerFooter scaleWithDoc="0">
    <oddFooter>&amp;C&amp;"Times New Roman,Regular"&amp;10&amp;A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H85"/>
  <sheetViews>
    <sheetView zoomScale="80" zoomScaleNormal="80" zoomScalePageLayoutView="53" workbookViewId="0">
      <selection activeCell="C7" sqref="C7"/>
    </sheetView>
  </sheetViews>
  <sheetFormatPr defaultColWidth="8.85546875" defaultRowHeight="15.75"/>
  <cols>
    <col min="1" max="1" width="5.140625" style="163" customWidth="1"/>
    <col min="2" max="2" width="83" style="18" customWidth="1"/>
    <col min="3" max="3" width="16.85546875" style="18" customWidth="1"/>
    <col min="4" max="4" width="1.5703125" style="18" customWidth="1"/>
    <col min="5" max="5" width="38.85546875" style="18" customWidth="1"/>
    <col min="6" max="6" width="5.140625" style="163" customWidth="1"/>
    <col min="7" max="16384" width="8.85546875" style="18"/>
  </cols>
  <sheetData>
    <row r="1" spans="1:6">
      <c r="A1" s="292"/>
      <c r="B1" s="109"/>
      <c r="C1" s="110"/>
      <c r="D1" s="110"/>
      <c r="E1" s="136"/>
      <c r="F1" s="292"/>
    </row>
    <row r="2" spans="1:6">
      <c r="A2" s="292"/>
      <c r="B2" s="1677" t="s">
        <v>17</v>
      </c>
      <c r="C2" s="1676"/>
      <c r="D2" s="1676"/>
      <c r="E2" s="1676"/>
      <c r="F2" s="292"/>
    </row>
    <row r="3" spans="1:6">
      <c r="A3" s="292" t="s">
        <v>9</v>
      </c>
      <c r="B3" s="1677" t="s">
        <v>305</v>
      </c>
      <c r="C3" s="1676"/>
      <c r="D3" s="1676"/>
      <c r="E3" s="1676"/>
      <c r="F3" s="292" t="s">
        <v>9</v>
      </c>
    </row>
    <row r="4" spans="1:6">
      <c r="A4" s="292"/>
      <c r="B4" s="1678" t="str">
        <f>'A. Sec.1 - Direct Maintenance'!B5</f>
        <v>Base Period &amp; True-Up Period 12 - Months Ending December 31, 2019</v>
      </c>
      <c r="C4" s="1679"/>
      <c r="D4" s="1679"/>
      <c r="E4" s="1679"/>
      <c r="F4" s="292"/>
    </row>
    <row r="5" spans="1:6">
      <c r="A5" s="292"/>
      <c r="B5" s="1675" t="s">
        <v>2</v>
      </c>
      <c r="C5" s="1676"/>
      <c r="D5" s="1676"/>
      <c r="E5" s="1676"/>
      <c r="F5" s="292"/>
    </row>
    <row r="6" spans="1:6">
      <c r="A6" s="292"/>
      <c r="B6" s="138"/>
      <c r="C6" s="96"/>
      <c r="D6" s="922"/>
      <c r="E6" s="96"/>
      <c r="F6" s="292"/>
    </row>
    <row r="7" spans="1:6">
      <c r="A7" s="727" t="s">
        <v>3</v>
      </c>
      <c r="B7" s="111"/>
      <c r="C7" s="112"/>
      <c r="D7" s="112"/>
      <c r="E7" s="136"/>
      <c r="F7" s="727" t="s">
        <v>3</v>
      </c>
    </row>
    <row r="8" spans="1:6">
      <c r="A8" s="727" t="s">
        <v>24</v>
      </c>
      <c r="B8" s="113" t="s">
        <v>9</v>
      </c>
      <c r="C8" s="853" t="s">
        <v>123</v>
      </c>
      <c r="D8" s="112"/>
      <c r="E8" s="95" t="s">
        <v>8</v>
      </c>
      <c r="F8" s="727" t="s">
        <v>24</v>
      </c>
    </row>
    <row r="9" spans="1:6">
      <c r="A9" s="292"/>
      <c r="B9" s="1495" t="s">
        <v>306</v>
      </c>
      <c r="C9" s="116"/>
      <c r="D9" s="112"/>
      <c r="E9" s="136"/>
      <c r="F9" s="292"/>
    </row>
    <row r="10" spans="1:6">
      <c r="A10" s="292"/>
      <c r="B10" s="115"/>
      <c r="C10" s="116"/>
      <c r="D10" s="112"/>
      <c r="E10" s="1451"/>
      <c r="F10" s="292"/>
    </row>
    <row r="11" spans="1:6">
      <c r="A11" s="292">
        <v>1</v>
      </c>
      <c r="B11" s="954" t="s">
        <v>307</v>
      </c>
      <c r="C11" s="116"/>
      <c r="D11" s="116"/>
      <c r="E11" s="136"/>
      <c r="F11" s="292">
        <f>A11</f>
        <v>1</v>
      </c>
    </row>
    <row r="12" spans="1:6">
      <c r="A12" s="292">
        <f>A11+1</f>
        <v>2</v>
      </c>
      <c r="B12" s="117" t="s">
        <v>120</v>
      </c>
      <c r="C12" s="1061">
        <f>C75</f>
        <v>4947387.2084215386</v>
      </c>
      <c r="D12" s="82"/>
      <c r="E12" s="107" t="str">
        <f>"Page 2; Line "&amp;A75</f>
        <v>Page 2; Line 16</v>
      </c>
      <c r="F12" s="292">
        <f>F11+1</f>
        <v>2</v>
      </c>
    </row>
    <row r="13" spans="1:6">
      <c r="A13" s="292">
        <f t="shared" ref="A13:A48" si="0">A12+1</f>
        <v>3</v>
      </c>
      <c r="B13" s="117" t="s">
        <v>12</v>
      </c>
      <c r="C13" s="623">
        <f>C76</f>
        <v>4191.7006084227396</v>
      </c>
      <c r="D13" s="930"/>
      <c r="E13" s="168" t="str">
        <f>"Page 2; Line "&amp;A76</f>
        <v>Page 2; Line 17</v>
      </c>
      <c r="F13" s="292">
        <f t="shared" ref="F13:F48" si="1">F12+1</f>
        <v>3</v>
      </c>
    </row>
    <row r="14" spans="1:6">
      <c r="A14" s="292">
        <f t="shared" si="0"/>
        <v>4</v>
      </c>
      <c r="B14" s="117" t="s">
        <v>13</v>
      </c>
      <c r="C14" s="623">
        <f>C77</f>
        <v>29317.665249830297</v>
      </c>
      <c r="D14" s="930"/>
      <c r="E14" s="168" t="str">
        <f>"Page 2; Line "&amp;A77</f>
        <v>Page 2; Line 18</v>
      </c>
      <c r="F14" s="292">
        <f t="shared" si="1"/>
        <v>4</v>
      </c>
    </row>
    <row r="15" spans="1:6">
      <c r="A15" s="292">
        <f t="shared" si="0"/>
        <v>5</v>
      </c>
      <c r="B15" s="118" t="s">
        <v>308</v>
      </c>
      <c r="C15" s="1083">
        <f>C78</f>
        <v>55105.899285469299</v>
      </c>
      <c r="D15" s="930"/>
      <c r="E15" s="168" t="str">
        <f>"Page 2; Line "&amp;A78</f>
        <v>Page 2; Line 19</v>
      </c>
      <c r="F15" s="292">
        <f t="shared" si="1"/>
        <v>5</v>
      </c>
    </row>
    <row r="16" spans="1:6">
      <c r="A16" s="292">
        <f t="shared" si="0"/>
        <v>6</v>
      </c>
      <c r="B16" s="117" t="s">
        <v>309</v>
      </c>
      <c r="C16" s="1084">
        <f>SUM(C12:C15)</f>
        <v>5036002.4735652609</v>
      </c>
      <c r="D16" s="124"/>
      <c r="E16" s="107" t="str">
        <f>"Sum Lines "&amp;A12&amp;" thru "&amp;A15</f>
        <v>Sum Lines 2 thru 5</v>
      </c>
      <c r="F16" s="292">
        <f t="shared" si="1"/>
        <v>6</v>
      </c>
    </row>
    <row r="17" spans="1:6">
      <c r="A17" s="292">
        <f t="shared" si="0"/>
        <v>7</v>
      </c>
      <c r="B17" s="108"/>
      <c r="C17" s="1085"/>
      <c r="D17" s="120"/>
      <c r="E17" s="136"/>
      <c r="F17" s="292">
        <f t="shared" si="1"/>
        <v>7</v>
      </c>
    </row>
    <row r="18" spans="1:6">
      <c r="A18" s="292">
        <f t="shared" si="0"/>
        <v>8</v>
      </c>
      <c r="B18" s="954" t="s">
        <v>310</v>
      </c>
      <c r="C18" s="1085"/>
      <c r="D18" s="120"/>
      <c r="E18" s="136"/>
      <c r="F18" s="292">
        <f t="shared" si="1"/>
        <v>8</v>
      </c>
    </row>
    <row r="19" spans="1:6">
      <c r="A19" s="292">
        <f t="shared" si="0"/>
        <v>9</v>
      </c>
      <c r="B19" s="117" t="s">
        <v>311</v>
      </c>
      <c r="C19" s="1086">
        <f>'Stmt AG'!E11</f>
        <v>0</v>
      </c>
      <c r="D19" s="112"/>
      <c r="E19" s="107" t="str">
        <f>"Statement AG; Line "&amp;'Stmt AG'!A11</f>
        <v>Statement AG; Line 1</v>
      </c>
      <c r="F19" s="292">
        <f t="shared" si="1"/>
        <v>9</v>
      </c>
    </row>
    <row r="20" spans="1:6">
      <c r="A20" s="292">
        <f t="shared" si="0"/>
        <v>10</v>
      </c>
      <c r="B20" s="117" t="s">
        <v>312</v>
      </c>
      <c r="C20" s="1424">
        <f>'Stmt Misc.'!E12</f>
        <v>0</v>
      </c>
      <c r="D20" s="112"/>
      <c r="E20" s="168" t="str">
        <f>"Statement Misc.; Line "&amp;'Stmt Misc.'!A12</f>
        <v>Statement Misc.; Line 3</v>
      </c>
      <c r="F20" s="292">
        <f t="shared" si="1"/>
        <v>10</v>
      </c>
    </row>
    <row r="21" spans="1:6">
      <c r="A21" s="292">
        <f t="shared" si="0"/>
        <v>11</v>
      </c>
      <c r="B21" s="117" t="s">
        <v>313</v>
      </c>
      <c r="C21" s="1087">
        <f>C19+C20</f>
        <v>0</v>
      </c>
      <c r="D21" s="952"/>
      <c r="E21" s="107" t="str">
        <f>"Line "&amp;A19&amp;" + Line "&amp;A20</f>
        <v>Line 9 + Line 10</v>
      </c>
      <c r="F21" s="292">
        <f t="shared" si="1"/>
        <v>11</v>
      </c>
    </row>
    <row r="22" spans="1:6">
      <c r="A22" s="292">
        <f t="shared" si="0"/>
        <v>12</v>
      </c>
      <c r="B22" s="117"/>
      <c r="C22" s="1088"/>
      <c r="D22" s="110"/>
      <c r="E22" s="136"/>
      <c r="F22" s="292">
        <f t="shared" si="1"/>
        <v>12</v>
      </c>
    </row>
    <row r="23" spans="1:6">
      <c r="A23" s="292">
        <f t="shared" si="0"/>
        <v>13</v>
      </c>
      <c r="B23" s="954" t="s">
        <v>314</v>
      </c>
      <c r="C23" s="1085"/>
      <c r="D23" s="120"/>
      <c r="E23" s="136"/>
      <c r="F23" s="292">
        <f t="shared" si="1"/>
        <v>13</v>
      </c>
    </row>
    <row r="24" spans="1:6">
      <c r="A24" s="292">
        <f t="shared" si="0"/>
        <v>14</v>
      </c>
      <c r="B24" s="108" t="s">
        <v>315</v>
      </c>
      <c r="C24" s="1089">
        <f>'Stmt AF'!I17</f>
        <v>-848762.15720450506</v>
      </c>
      <c r="D24" s="112"/>
      <c r="E24" s="107" t="str">
        <f>"Statement AF; Line "&amp;'Stmt AF'!A17</f>
        <v>Statement AF; Line 7</v>
      </c>
      <c r="F24" s="292">
        <f t="shared" si="1"/>
        <v>14</v>
      </c>
    </row>
    <row r="25" spans="1:6">
      <c r="A25" s="292">
        <f t="shared" si="0"/>
        <v>15</v>
      </c>
      <c r="B25" s="108" t="s">
        <v>316</v>
      </c>
      <c r="C25" s="1090">
        <f>'Stmt AF'!I21</f>
        <v>0</v>
      </c>
      <c r="D25" s="112"/>
      <c r="E25" s="168" t="str">
        <f>"Statement AF; Line "&amp;'Stmt AF'!A21</f>
        <v>Statement AF; Line 11</v>
      </c>
      <c r="F25" s="292">
        <f t="shared" si="1"/>
        <v>15</v>
      </c>
    </row>
    <row r="26" spans="1:6">
      <c r="A26" s="292">
        <f t="shared" si="0"/>
        <v>16</v>
      </c>
      <c r="B26" s="117" t="s">
        <v>317</v>
      </c>
      <c r="C26" s="1084">
        <f>SUM(C24:C25)</f>
        <v>-848762.15720450506</v>
      </c>
      <c r="D26" s="124"/>
      <c r="E26" s="168" t="str">
        <f>"Line "&amp;A24&amp;" + Line "&amp;A25</f>
        <v>Line 14 + Line 15</v>
      </c>
      <c r="F26" s="292">
        <f t="shared" si="1"/>
        <v>16</v>
      </c>
    </row>
    <row r="27" spans="1:6">
      <c r="A27" s="292">
        <f t="shared" si="0"/>
        <v>17</v>
      </c>
      <c r="B27" s="113"/>
      <c r="C27" s="1091"/>
      <c r="D27" s="121"/>
      <c r="E27" s="136"/>
      <c r="F27" s="292">
        <f t="shared" si="1"/>
        <v>17</v>
      </c>
    </row>
    <row r="28" spans="1:6">
      <c r="A28" s="292">
        <f t="shared" si="0"/>
        <v>18</v>
      </c>
      <c r="B28" s="954" t="s">
        <v>318</v>
      </c>
      <c r="C28" s="1091"/>
      <c r="D28" s="121"/>
      <c r="E28" s="136"/>
      <c r="F28" s="292">
        <f t="shared" si="1"/>
        <v>18</v>
      </c>
    </row>
    <row r="29" spans="1:6">
      <c r="A29" s="292">
        <f t="shared" si="0"/>
        <v>19</v>
      </c>
      <c r="B29" s="117" t="s">
        <v>319</v>
      </c>
      <c r="C29" s="1061">
        <f>'Stmt AL'!G15</f>
        <v>50559.74647056016</v>
      </c>
      <c r="D29" s="112"/>
      <c r="E29" s="107" t="str">
        <f>"Statement AL; Line "&amp;'Stmt AL'!A15</f>
        <v>Statement AL; Line 5</v>
      </c>
      <c r="F29" s="292">
        <f t="shared" si="1"/>
        <v>19</v>
      </c>
    </row>
    <row r="30" spans="1:6">
      <c r="A30" s="292">
        <f t="shared" si="0"/>
        <v>20</v>
      </c>
      <c r="B30" s="117" t="s">
        <v>320</v>
      </c>
      <c r="C30" s="623">
        <f>'Stmt AL'!G19</f>
        <v>25324.807208075756</v>
      </c>
      <c r="D30" s="112"/>
      <c r="E30" s="168" t="str">
        <f>"Statement AL; Line "&amp;'Stmt AL'!A19</f>
        <v>Statement AL; Line 9</v>
      </c>
      <c r="F30" s="292">
        <f t="shared" si="1"/>
        <v>20</v>
      </c>
    </row>
    <row r="31" spans="1:6">
      <c r="A31" s="292">
        <f t="shared" si="0"/>
        <v>21</v>
      </c>
      <c r="B31" s="118" t="s">
        <v>321</v>
      </c>
      <c r="C31" s="1083">
        <f>'Stmt AL'!E29</f>
        <v>9339.5752158076139</v>
      </c>
      <c r="D31" s="112"/>
      <c r="E31" s="168" t="str">
        <f>"Statement AL; Line "&amp;'Stmt AL'!A29</f>
        <v>Statement AL; Line 19</v>
      </c>
      <c r="F31" s="292">
        <f t="shared" si="1"/>
        <v>21</v>
      </c>
    </row>
    <row r="32" spans="1:6">
      <c r="A32" s="292">
        <f t="shared" si="0"/>
        <v>22</v>
      </c>
      <c r="B32" s="117" t="s">
        <v>588</v>
      </c>
      <c r="C32" s="1084">
        <f>SUM(C29:C31)</f>
        <v>85224.128894443536</v>
      </c>
      <c r="D32" s="124"/>
      <c r="E32" s="168" t="str">
        <f>"Sum Lines "&amp;A29&amp;" thru "&amp;A31</f>
        <v>Sum Lines 19 thru 21</v>
      </c>
      <c r="F32" s="292">
        <f t="shared" si="1"/>
        <v>22</v>
      </c>
    </row>
    <row r="33" spans="1:6">
      <c r="A33" s="292">
        <f t="shared" si="0"/>
        <v>23</v>
      </c>
      <c r="B33" s="119"/>
      <c r="C33" s="1092"/>
      <c r="D33" s="122"/>
      <c r="E33" s="136"/>
      <c r="F33" s="292">
        <f t="shared" si="1"/>
        <v>23</v>
      </c>
    </row>
    <row r="34" spans="1:6">
      <c r="A34" s="292">
        <f t="shared" si="0"/>
        <v>24</v>
      </c>
      <c r="B34" s="117" t="s">
        <v>322</v>
      </c>
      <c r="C34" s="1425">
        <f>'Stmt Misc.'!E14</f>
        <v>0</v>
      </c>
      <c r="D34" s="112"/>
      <c r="E34" s="107" t="str">
        <f>"Statement Misc.; Line "&amp;'Stmt Misc.'!A14</f>
        <v>Statement Misc.; Line 5</v>
      </c>
      <c r="F34" s="292">
        <f t="shared" si="1"/>
        <v>24</v>
      </c>
    </row>
    <row r="35" spans="1:6">
      <c r="A35" s="292">
        <f t="shared" si="0"/>
        <v>25</v>
      </c>
      <c r="B35" s="117"/>
      <c r="C35" s="1092"/>
      <c r="D35" s="122"/>
      <c r="E35" s="136"/>
      <c r="F35" s="292">
        <f t="shared" si="1"/>
        <v>25</v>
      </c>
    </row>
    <row r="36" spans="1:6" ht="16.5" thickBot="1">
      <c r="A36" s="292">
        <f t="shared" si="0"/>
        <v>26</v>
      </c>
      <c r="B36" s="117" t="s">
        <v>587</v>
      </c>
      <c r="C36" s="1093">
        <f>C16+C21+C26+C32+C34</f>
        <v>4272464.4452551994</v>
      </c>
      <c r="D36" s="124"/>
      <c r="E36" s="107" t="str">
        <f>"Sum Lines "&amp;A16&amp;", "&amp;A21&amp;", "&amp;A26&amp;", "&amp;A32&amp;", "&amp;A34</f>
        <v>Sum Lines 6, 11, 16, 22, 24</v>
      </c>
      <c r="F36" s="292">
        <f t="shared" si="1"/>
        <v>26</v>
      </c>
    </row>
    <row r="37" spans="1:6" ht="16.5" thickTop="1">
      <c r="A37" s="292">
        <f t="shared" si="0"/>
        <v>27</v>
      </c>
      <c r="B37" s="123"/>
      <c r="C37" s="1094"/>
      <c r="D37" s="124"/>
      <c r="E37" s="125"/>
      <c r="F37" s="292">
        <f t="shared" si="1"/>
        <v>27</v>
      </c>
    </row>
    <row r="38" spans="1:6">
      <c r="A38" s="292">
        <f t="shared" si="0"/>
        <v>28</v>
      </c>
      <c r="B38" s="1495" t="s">
        <v>944</v>
      </c>
      <c r="C38" s="1094"/>
      <c r="D38" s="124"/>
      <c r="E38" s="125"/>
      <c r="F38" s="292">
        <f t="shared" si="1"/>
        <v>28</v>
      </c>
    </row>
    <row r="39" spans="1:6">
      <c r="A39" s="292">
        <f t="shared" si="0"/>
        <v>29</v>
      </c>
      <c r="B39" s="117" t="s">
        <v>908</v>
      </c>
      <c r="C39" s="1500">
        <v>0</v>
      </c>
      <c r="D39" s="1498"/>
      <c r="E39" s="168" t="s">
        <v>125</v>
      </c>
      <c r="F39" s="292">
        <f t="shared" si="1"/>
        <v>29</v>
      </c>
    </row>
    <row r="40" spans="1:6">
      <c r="A40" s="292">
        <f t="shared" si="0"/>
        <v>30</v>
      </c>
      <c r="B40" s="117" t="s">
        <v>909</v>
      </c>
      <c r="C40" s="1542">
        <v>0</v>
      </c>
      <c r="D40" s="112"/>
      <c r="E40" s="168" t="s">
        <v>125</v>
      </c>
      <c r="F40" s="292">
        <f t="shared" si="1"/>
        <v>30</v>
      </c>
    </row>
    <row r="41" spans="1:6">
      <c r="A41" s="292">
        <f t="shared" si="0"/>
        <v>31</v>
      </c>
      <c r="B41" s="108" t="s">
        <v>910</v>
      </c>
      <c r="C41" s="1499">
        <f>C39+C40</f>
        <v>0</v>
      </c>
      <c r="D41" s="124"/>
      <c r="E41" s="168" t="str">
        <f>"Line "&amp;A39&amp;" + Line "&amp;A40</f>
        <v>Line 29 + Line 30</v>
      </c>
      <c r="F41" s="292">
        <f t="shared" si="1"/>
        <v>31</v>
      </c>
    </row>
    <row r="42" spans="1:6">
      <c r="A42" s="292">
        <f t="shared" si="0"/>
        <v>32</v>
      </c>
      <c r="B42" s="119"/>
      <c r="C42" s="1094"/>
      <c r="D42" s="124"/>
      <c r="E42" s="1451"/>
      <c r="F42" s="292">
        <f t="shared" si="1"/>
        <v>32</v>
      </c>
    </row>
    <row r="43" spans="1:6">
      <c r="A43" s="292">
        <f t="shared" si="0"/>
        <v>33</v>
      </c>
      <c r="B43" s="954" t="s">
        <v>945</v>
      </c>
      <c r="C43" s="1094"/>
      <c r="D43" s="124"/>
      <c r="E43" s="1451"/>
      <c r="F43" s="292">
        <f t="shared" si="1"/>
        <v>33</v>
      </c>
    </row>
    <row r="44" spans="1:6">
      <c r="A44" s="292">
        <f t="shared" si="0"/>
        <v>34</v>
      </c>
      <c r="B44" s="117" t="s">
        <v>911</v>
      </c>
      <c r="C44" s="1500">
        <v>0</v>
      </c>
      <c r="D44" s="112"/>
      <c r="E44" s="168" t="s">
        <v>125</v>
      </c>
      <c r="F44" s="292">
        <f t="shared" si="1"/>
        <v>34</v>
      </c>
    </row>
    <row r="45" spans="1:6">
      <c r="A45" s="292">
        <f t="shared" si="0"/>
        <v>35</v>
      </c>
      <c r="B45" s="108" t="s">
        <v>912</v>
      </c>
      <c r="C45" s="1543">
        <v>0</v>
      </c>
      <c r="D45" s="112"/>
      <c r="E45" s="168" t="s">
        <v>125</v>
      </c>
      <c r="F45" s="292">
        <f t="shared" si="1"/>
        <v>35</v>
      </c>
    </row>
    <row r="46" spans="1:6">
      <c r="A46" s="292">
        <f t="shared" si="0"/>
        <v>36</v>
      </c>
      <c r="B46" s="108" t="s">
        <v>913</v>
      </c>
      <c r="C46" s="1499">
        <f>C44+C45</f>
        <v>0</v>
      </c>
      <c r="D46" s="124"/>
      <c r="E46" s="168" t="str">
        <f>"Line "&amp;A44&amp;" + Line "&amp;A45</f>
        <v>Line 34 + Line 35</v>
      </c>
      <c r="F46" s="292">
        <f t="shared" si="1"/>
        <v>36</v>
      </c>
    </row>
    <row r="47" spans="1:6">
      <c r="A47" s="292">
        <f t="shared" si="0"/>
        <v>37</v>
      </c>
      <c r="B47" s="119"/>
      <c r="C47" s="1094"/>
      <c r="D47" s="124"/>
      <c r="E47" s="1451"/>
      <c r="F47" s="292">
        <f t="shared" si="1"/>
        <v>37</v>
      </c>
    </row>
    <row r="48" spans="1:6" ht="16.5" thickBot="1">
      <c r="A48" s="292">
        <f t="shared" si="0"/>
        <v>38</v>
      </c>
      <c r="B48" s="954" t="s">
        <v>946</v>
      </c>
      <c r="C48" s="1501">
        <v>0</v>
      </c>
      <c r="D48" s="112"/>
      <c r="E48" s="168" t="s">
        <v>125</v>
      </c>
      <c r="F48" s="292">
        <f t="shared" si="1"/>
        <v>38</v>
      </c>
    </row>
    <row r="49" spans="1:8" ht="16.5" thickTop="1">
      <c r="A49" s="292"/>
      <c r="B49" s="123"/>
      <c r="C49" s="1094"/>
      <c r="D49" s="124"/>
      <c r="E49" s="125"/>
      <c r="F49" s="292"/>
    </row>
    <row r="50" spans="1:8">
      <c r="A50" s="292"/>
      <c r="B50" s="1458"/>
      <c r="C50" s="1459"/>
      <c r="D50" s="1459"/>
      <c r="E50" s="1459"/>
      <c r="F50" s="292"/>
    </row>
    <row r="51" spans="1:8">
      <c r="A51" s="292"/>
      <c r="B51" s="1677" t="str">
        <f>B2</f>
        <v>SAN DIEGO GAS &amp; ELECTRIC COMPANY</v>
      </c>
      <c r="C51" s="1676"/>
      <c r="D51" s="1676"/>
      <c r="E51" s="1676"/>
      <c r="F51" s="292"/>
    </row>
    <row r="52" spans="1:8">
      <c r="A52" s="292"/>
      <c r="B52" s="1677" t="str">
        <f>B3</f>
        <v xml:space="preserve">Derivation of End Use Transmission Rate Base </v>
      </c>
      <c r="C52" s="1676"/>
      <c r="D52" s="1676"/>
      <c r="E52" s="1676"/>
      <c r="F52" s="292"/>
    </row>
    <row r="53" spans="1:8">
      <c r="A53" s="292"/>
      <c r="B53" s="1678" t="str">
        <f>B4</f>
        <v>Base Period &amp; True-Up Period 12 - Months Ending December 31, 2019</v>
      </c>
      <c r="C53" s="1679"/>
      <c r="D53" s="1679"/>
      <c r="E53" s="1679"/>
      <c r="F53" s="292"/>
    </row>
    <row r="54" spans="1:8">
      <c r="A54" s="292"/>
      <c r="B54" s="1675" t="s">
        <v>2</v>
      </c>
      <c r="C54" s="1676"/>
      <c r="D54" s="1676"/>
      <c r="E54" s="1676"/>
      <c r="F54" s="292"/>
    </row>
    <row r="55" spans="1:8">
      <c r="A55" s="292"/>
      <c r="B55" s="1460"/>
      <c r="C55" s="1459"/>
      <c r="D55" s="1459"/>
      <c r="E55" s="1459"/>
      <c r="F55" s="292"/>
    </row>
    <row r="56" spans="1:8">
      <c r="A56" s="727" t="s">
        <v>3</v>
      </c>
      <c r="B56" s="1460"/>
      <c r="C56" s="1459"/>
      <c r="D56" s="1459"/>
      <c r="E56" s="1459"/>
      <c r="F56" s="292"/>
    </row>
    <row r="57" spans="1:8">
      <c r="A57" s="727" t="s">
        <v>24</v>
      </c>
      <c r="B57" s="1460"/>
      <c r="C57" s="1459"/>
      <c r="D57" s="1459"/>
      <c r="E57" s="1459"/>
      <c r="F57" s="292"/>
    </row>
    <row r="58" spans="1:8">
      <c r="A58" s="727"/>
      <c r="B58" s="1495" t="s">
        <v>903</v>
      </c>
      <c r="C58" s="1459"/>
      <c r="D58" s="1459"/>
      <c r="E58" s="1459"/>
      <c r="F58" s="292"/>
    </row>
    <row r="59" spans="1:8">
      <c r="A59" s="292"/>
      <c r="B59" s="115"/>
      <c r="C59" s="112"/>
      <c r="D59" s="112"/>
      <c r="E59" s="136"/>
      <c r="F59" s="292"/>
    </row>
    <row r="60" spans="1:8">
      <c r="A60" s="292">
        <v>1</v>
      </c>
      <c r="B60" s="954" t="s">
        <v>323</v>
      </c>
      <c r="C60" s="112"/>
      <c r="D60" s="112"/>
      <c r="E60" s="136"/>
      <c r="F60" s="292">
        <f t="shared" ref="F60:F84" si="2">A60</f>
        <v>1</v>
      </c>
    </row>
    <row r="61" spans="1:8">
      <c r="A61" s="292">
        <v>2</v>
      </c>
      <c r="B61" s="117" t="s">
        <v>120</v>
      </c>
      <c r="C61" s="1096">
        <f>'Stmt AD'!I21</f>
        <v>6197907.0110930772</v>
      </c>
      <c r="D61" s="112"/>
      <c r="E61" s="107" t="str">
        <f>"Statement AD; Line "&amp;'Stmt AD'!A21</f>
        <v>Statement AD; Line 11</v>
      </c>
      <c r="F61" s="292">
        <f t="shared" si="2"/>
        <v>2</v>
      </c>
      <c r="G61" s="164"/>
      <c r="H61" s="165"/>
    </row>
    <row r="62" spans="1:8">
      <c r="A62" s="292">
        <v>3</v>
      </c>
      <c r="B62" s="117" t="s">
        <v>324</v>
      </c>
      <c r="C62" s="1097">
        <f>'Stmt AD'!I37</f>
        <v>18119.008106850244</v>
      </c>
      <c r="D62" s="112"/>
      <c r="E62" s="168" t="str">
        <f>"Statement AD; Line "&amp;'Stmt AD'!A37</f>
        <v>Statement AD; Line 27</v>
      </c>
      <c r="F62" s="292">
        <f t="shared" si="2"/>
        <v>3</v>
      </c>
      <c r="G62" s="164"/>
      <c r="H62" s="165"/>
    </row>
    <row r="63" spans="1:8">
      <c r="A63" s="292">
        <v>4</v>
      </c>
      <c r="B63" s="117" t="s">
        <v>13</v>
      </c>
      <c r="C63" s="1097">
        <f>'Stmt AD'!I39</f>
        <v>46899.099622544018</v>
      </c>
      <c r="D63" s="112"/>
      <c r="E63" s="168" t="str">
        <f>"Statement AD; Line "&amp;'Stmt AD'!A39</f>
        <v>Statement AD; Line 29</v>
      </c>
      <c r="F63" s="292">
        <f t="shared" si="2"/>
        <v>4</v>
      </c>
      <c r="G63" s="164"/>
      <c r="H63" s="166"/>
    </row>
    <row r="64" spans="1:8">
      <c r="A64" s="292">
        <v>5</v>
      </c>
      <c r="B64" s="118" t="s">
        <v>308</v>
      </c>
      <c r="C64" s="1095">
        <f>'Stmt AD'!I41</f>
        <v>105080.18864726061</v>
      </c>
      <c r="D64" s="112"/>
      <c r="E64" s="168" t="str">
        <f>"Statement AD; Line "&amp;'Stmt AD'!A41</f>
        <v>Statement AD; Line 31</v>
      </c>
      <c r="F64" s="292">
        <f t="shared" si="2"/>
        <v>5</v>
      </c>
      <c r="G64" s="165"/>
      <c r="H64" s="165"/>
    </row>
    <row r="65" spans="1:8">
      <c r="A65" s="292">
        <v>6</v>
      </c>
      <c r="B65" s="117" t="s">
        <v>325</v>
      </c>
      <c r="C65" s="1084">
        <f>SUM(C61:C64)</f>
        <v>6368005.3074697321</v>
      </c>
      <c r="D65" s="124"/>
      <c r="E65" s="168" t="str">
        <f>"Sum Lines "&amp;A61&amp;" thru "&amp;A64</f>
        <v>Sum Lines 2 thru 5</v>
      </c>
      <c r="F65" s="292">
        <f t="shared" si="2"/>
        <v>6</v>
      </c>
      <c r="G65" s="164"/>
      <c r="H65" s="165"/>
    </row>
    <row r="66" spans="1:8">
      <c r="A66" s="292">
        <v>7</v>
      </c>
      <c r="B66" s="108"/>
      <c r="C66" s="1098"/>
      <c r="D66" s="112"/>
      <c r="E66" s="136"/>
      <c r="F66" s="292">
        <f t="shared" si="2"/>
        <v>7</v>
      </c>
      <c r="G66" s="165"/>
      <c r="H66" s="165"/>
    </row>
    <row r="67" spans="1:8">
      <c r="A67" s="292">
        <v>8</v>
      </c>
      <c r="B67" s="955" t="s">
        <v>326</v>
      </c>
      <c r="C67" s="1098"/>
      <c r="D67" s="112"/>
      <c r="E67" s="136"/>
      <c r="F67" s="292">
        <f t="shared" si="2"/>
        <v>8</v>
      </c>
      <c r="G67" s="165"/>
      <c r="H67" s="165"/>
    </row>
    <row r="68" spans="1:8">
      <c r="A68" s="292">
        <v>9</v>
      </c>
      <c r="B68" s="108" t="s">
        <v>327</v>
      </c>
      <c r="C68" s="1096">
        <f>'Stmt AE'!I11</f>
        <v>1250519.8026715387</v>
      </c>
      <c r="D68" s="112"/>
      <c r="E68" s="107" t="str">
        <f>"Statement AE; Line "&amp;'Stmt AE'!A11</f>
        <v>Statement AE; Line 1</v>
      </c>
      <c r="F68" s="292">
        <f t="shared" si="2"/>
        <v>9</v>
      </c>
      <c r="G68" s="165"/>
      <c r="H68" s="165"/>
    </row>
    <row r="69" spans="1:8">
      <c r="A69" s="292">
        <v>10</v>
      </c>
      <c r="B69" s="106" t="s">
        <v>100</v>
      </c>
      <c r="C69" s="1097">
        <f>'Stmt AE'!I21</f>
        <v>13927.307498427504</v>
      </c>
      <c r="D69" s="112"/>
      <c r="E69" s="168" t="str">
        <f>"Statement AE; Line "&amp;'Stmt AE'!A21</f>
        <v>Statement AE; Line 11</v>
      </c>
      <c r="F69" s="292">
        <f t="shared" si="2"/>
        <v>10</v>
      </c>
      <c r="G69" s="165"/>
      <c r="H69" s="165"/>
    </row>
    <row r="70" spans="1:8">
      <c r="A70" s="292">
        <v>11</v>
      </c>
      <c r="B70" s="127" t="s">
        <v>328</v>
      </c>
      <c r="C70" s="1097">
        <f>'Stmt AE'!I23</f>
        <v>17581.43437271372</v>
      </c>
      <c r="D70" s="112"/>
      <c r="E70" s="168" t="str">
        <f>"Statement AE; Line "&amp;'Stmt AE'!A23</f>
        <v>Statement AE; Line 13</v>
      </c>
      <c r="F70" s="292">
        <f t="shared" si="2"/>
        <v>11</v>
      </c>
      <c r="G70" s="165"/>
      <c r="H70" s="165"/>
    </row>
    <row r="71" spans="1:8">
      <c r="A71" s="292">
        <v>12</v>
      </c>
      <c r="B71" s="127" t="s">
        <v>329</v>
      </c>
      <c r="C71" s="1095">
        <f>'Stmt AE'!I25</f>
        <v>49974.289361791314</v>
      </c>
      <c r="D71" s="112"/>
      <c r="E71" s="168" t="str">
        <f>"Statement AE; Line "&amp;'Stmt AE'!A25</f>
        <v>Statement AE; Line 15</v>
      </c>
      <c r="F71" s="292">
        <f t="shared" si="2"/>
        <v>12</v>
      </c>
      <c r="G71" s="165"/>
      <c r="H71" s="165"/>
    </row>
    <row r="72" spans="1:8">
      <c r="A72" s="292">
        <v>13</v>
      </c>
      <c r="B72" s="956" t="s">
        <v>97</v>
      </c>
      <c r="C72" s="1084">
        <f>SUM(C68:C71)</f>
        <v>1332002.8339044712</v>
      </c>
      <c r="D72" s="124"/>
      <c r="E72" s="168" t="str">
        <f>"Sum Lines "&amp;A68&amp;" thru "&amp;A71</f>
        <v>Sum Lines 9 thru 12</v>
      </c>
      <c r="F72" s="292">
        <f t="shared" si="2"/>
        <v>13</v>
      </c>
      <c r="G72" s="165"/>
      <c r="H72" s="165"/>
    </row>
    <row r="73" spans="1:8">
      <c r="A73" s="292">
        <v>14</v>
      </c>
      <c r="B73" s="956"/>
      <c r="C73" s="1091"/>
      <c r="D73" s="121"/>
      <c r="E73" s="136"/>
      <c r="F73" s="292">
        <f t="shared" si="2"/>
        <v>14</v>
      </c>
      <c r="G73" s="165"/>
      <c r="H73" s="165"/>
    </row>
    <row r="74" spans="1:8">
      <c r="A74" s="292">
        <v>15</v>
      </c>
      <c r="B74" s="954" t="s">
        <v>307</v>
      </c>
      <c r="C74" s="1091"/>
      <c r="D74" s="121"/>
      <c r="E74" s="136"/>
      <c r="F74" s="292">
        <f t="shared" si="2"/>
        <v>15</v>
      </c>
      <c r="G74" s="165"/>
      <c r="H74" s="165"/>
    </row>
    <row r="75" spans="1:8">
      <c r="A75" s="292">
        <v>16</v>
      </c>
      <c r="B75" s="117" t="s">
        <v>120</v>
      </c>
      <c r="C75" s="1099">
        <f>C61-C68</f>
        <v>4947387.2084215386</v>
      </c>
      <c r="D75" s="128"/>
      <c r="E75" s="107" t="str">
        <f>"Line "&amp;A61&amp;" Minus Line "&amp;A68</f>
        <v>Line 2 Minus Line 9</v>
      </c>
      <c r="F75" s="292">
        <f t="shared" si="2"/>
        <v>16</v>
      </c>
      <c r="G75" s="165"/>
      <c r="H75" s="165"/>
    </row>
    <row r="76" spans="1:8">
      <c r="A76" s="292">
        <v>17</v>
      </c>
      <c r="B76" s="117" t="s">
        <v>12</v>
      </c>
      <c r="C76" s="1100">
        <f>C62-C69</f>
        <v>4191.7006084227396</v>
      </c>
      <c r="D76" s="129"/>
      <c r="E76" s="168" t="str">
        <f>"Line "&amp;A62&amp;" Minus Line "&amp;A69</f>
        <v>Line 3 Minus Line 10</v>
      </c>
      <c r="F76" s="292">
        <f t="shared" si="2"/>
        <v>17</v>
      </c>
      <c r="G76" s="165"/>
      <c r="H76" s="165"/>
    </row>
    <row r="77" spans="1:8">
      <c r="A77" s="292">
        <v>18</v>
      </c>
      <c r="B77" s="117" t="s">
        <v>13</v>
      </c>
      <c r="C77" s="1100">
        <f>C63-C70</f>
        <v>29317.665249830297</v>
      </c>
      <c r="D77" s="129"/>
      <c r="E77" s="168" t="str">
        <f>"Line "&amp;A63&amp;" Minus Line "&amp;A70</f>
        <v>Line 4 Minus Line 11</v>
      </c>
      <c r="F77" s="292">
        <f t="shared" si="2"/>
        <v>18</v>
      </c>
    </row>
    <row r="78" spans="1:8">
      <c r="A78" s="292">
        <v>19</v>
      </c>
      <c r="B78" s="118" t="s">
        <v>308</v>
      </c>
      <c r="C78" s="1101">
        <f>C64-C71</f>
        <v>55105.899285469299</v>
      </c>
      <c r="D78" s="953"/>
      <c r="E78" s="168" t="str">
        <f>"Line "&amp;A64&amp;" Minus Line "&amp;A71</f>
        <v>Line 5 Minus Line 12</v>
      </c>
      <c r="F78" s="292">
        <f t="shared" si="2"/>
        <v>19</v>
      </c>
    </row>
    <row r="79" spans="1:8" ht="16.5" thickBot="1">
      <c r="A79" s="292">
        <v>20</v>
      </c>
      <c r="B79" s="108" t="s">
        <v>309</v>
      </c>
      <c r="C79" s="1102">
        <f>SUM(C75:C78)</f>
        <v>5036002.4735652609</v>
      </c>
      <c r="D79" s="124"/>
      <c r="E79" s="168" t="str">
        <f>"Sum Lines "&amp;A75&amp;" thru "&amp;A78</f>
        <v>Sum Lines 16 thru 19</v>
      </c>
      <c r="F79" s="292">
        <f t="shared" si="2"/>
        <v>20</v>
      </c>
    </row>
    <row r="80" spans="1:8" ht="16.5" thickTop="1">
      <c r="A80" s="292">
        <v>21</v>
      </c>
      <c r="B80" s="119"/>
      <c r="C80" s="124"/>
      <c r="D80" s="124"/>
      <c r="E80" s="136"/>
      <c r="F80" s="292">
        <f t="shared" si="2"/>
        <v>21</v>
      </c>
    </row>
    <row r="81" spans="1:6">
      <c r="A81" s="292">
        <v>22</v>
      </c>
      <c r="B81" s="1496" t="s">
        <v>907</v>
      </c>
      <c r="C81" s="124"/>
      <c r="D81" s="124"/>
      <c r="E81" s="139"/>
      <c r="F81" s="292">
        <f t="shared" si="2"/>
        <v>22</v>
      </c>
    </row>
    <row r="82" spans="1:6">
      <c r="A82" s="292">
        <v>23</v>
      </c>
      <c r="B82" s="117" t="s">
        <v>904</v>
      </c>
      <c r="C82" s="1500">
        <v>0</v>
      </c>
      <c r="D82" s="124"/>
      <c r="E82" s="168" t="s">
        <v>125</v>
      </c>
      <c r="F82" s="292">
        <f t="shared" si="2"/>
        <v>23</v>
      </c>
    </row>
    <row r="83" spans="1:6">
      <c r="A83" s="292">
        <v>24</v>
      </c>
      <c r="B83" s="108" t="s">
        <v>905</v>
      </c>
      <c r="C83" s="1543">
        <v>0</v>
      </c>
      <c r="D83" s="124"/>
      <c r="E83" s="168" t="s">
        <v>125</v>
      </c>
      <c r="F83" s="292">
        <f t="shared" si="2"/>
        <v>24</v>
      </c>
    </row>
    <row r="84" spans="1:6" ht="16.5" thickBot="1">
      <c r="A84" s="292">
        <v>25</v>
      </c>
      <c r="B84" s="117" t="s">
        <v>906</v>
      </c>
      <c r="C84" s="1497">
        <f>C82-C83</f>
        <v>0</v>
      </c>
      <c r="D84" s="124"/>
      <c r="E84" s="168" t="str">
        <f>"Line "&amp;A82&amp;" Minus Line "&amp;A83</f>
        <v>Line 23 Minus Line 24</v>
      </c>
      <c r="F84" s="292">
        <f t="shared" si="2"/>
        <v>25</v>
      </c>
    </row>
    <row r="85" spans="1:6" ht="16.5" thickTop="1">
      <c r="A85" s="292"/>
    </row>
  </sheetData>
  <mergeCells count="8">
    <mergeCell ref="B54:E54"/>
    <mergeCell ref="B51:E51"/>
    <mergeCell ref="B52:E52"/>
    <mergeCell ref="B53:E53"/>
    <mergeCell ref="B2:E2"/>
    <mergeCell ref="B3:E3"/>
    <mergeCell ref="B4:E4"/>
    <mergeCell ref="B5:E5"/>
  </mergeCells>
  <printOptions horizontalCentered="1"/>
  <pageMargins left="0.5" right="0.5" top="0.5" bottom="0.5" header="0.25" footer="0.25"/>
  <pageSetup scale="63" fitToHeight="0" orientation="portrait" r:id="rId1"/>
  <headerFooter scaleWithDoc="0">
    <oddFooter>&amp;C&amp;"Times New Roman,Regular"&amp;10&amp;A
Page &amp;P of 2</oddFooter>
    <evenFooter>&amp;C&amp;"Times New Roman,Regular"&amp;10&amp;A
Page 1 of 2</evenFooter>
  </headerFooter>
  <rowBreaks count="1" manualBreakCount="1">
    <brk id="49" max="5" man="1"/>
  </row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B6FA1-8676-4431-815B-9111972684D6}">
  <sheetPr>
    <pageSetUpPr fitToPage="1"/>
  </sheetPr>
  <dimension ref="A1:H20"/>
  <sheetViews>
    <sheetView zoomScale="80" zoomScaleNormal="80" zoomScaleSheetLayoutView="70" workbookViewId="0">
      <selection activeCell="C7" sqref="C7"/>
    </sheetView>
  </sheetViews>
  <sheetFormatPr defaultColWidth="8.85546875" defaultRowHeight="15.75"/>
  <cols>
    <col min="1" max="1" width="5.140625" style="587" customWidth="1"/>
    <col min="2" max="2" width="50.85546875" style="397" customWidth="1"/>
    <col min="3" max="3" width="21.140625" style="397" customWidth="1"/>
    <col min="4" max="4" width="1.5703125" style="397" customWidth="1"/>
    <col min="5" max="5" width="16.85546875" style="397" customWidth="1"/>
    <col min="6" max="6" width="1.5703125" style="397" customWidth="1"/>
    <col min="7" max="7" width="34.5703125" style="397" customWidth="1"/>
    <col min="8" max="8" width="5.140625" style="397" customWidth="1"/>
    <col min="9" max="9" width="8.85546875" style="397"/>
    <col min="10" max="10" width="20.42578125" style="397" bestFit="1" customWidth="1"/>
    <col min="11" max="16384" width="8.85546875" style="397"/>
  </cols>
  <sheetData>
    <row r="1" spans="1:8">
      <c r="A1" s="583"/>
      <c r="E1" s="671"/>
      <c r="F1" s="671"/>
      <c r="G1" s="587"/>
      <c r="H1" s="583"/>
    </row>
    <row r="2" spans="1:8">
      <c r="B2" s="1650" t="s">
        <v>17</v>
      </c>
      <c r="C2" s="1650"/>
      <c r="D2" s="1650"/>
      <c r="E2" s="1650"/>
      <c r="F2" s="1650"/>
      <c r="G2" s="1635"/>
      <c r="H2" s="587"/>
    </row>
    <row r="3" spans="1:8">
      <c r="B3" s="1650" t="s">
        <v>847</v>
      </c>
      <c r="C3" s="1650"/>
      <c r="D3" s="1650"/>
      <c r="E3" s="1680"/>
      <c r="F3" s="1680"/>
      <c r="G3" s="1680"/>
      <c r="H3" s="587"/>
    </row>
    <row r="4" spans="1:8">
      <c r="B4" s="1651" t="str">
        <f>'A. Sec.1 - Direct Maintenance'!B5</f>
        <v>Base Period &amp; True-Up Period 12 - Months Ending December 31, 2019</v>
      </c>
      <c r="C4" s="1651"/>
      <c r="D4" s="1651"/>
      <c r="E4" s="1651"/>
      <c r="F4" s="1651"/>
      <c r="G4" s="1637"/>
      <c r="H4" s="587"/>
    </row>
    <row r="5" spans="1:8">
      <c r="B5" s="1652" t="s">
        <v>2</v>
      </c>
      <c r="C5" s="1653"/>
      <c r="D5" s="1653"/>
      <c r="E5" s="1653"/>
      <c r="F5" s="1653"/>
      <c r="G5" s="1653"/>
      <c r="H5" s="587"/>
    </row>
    <row r="6" spans="1:8">
      <c r="B6" s="583"/>
      <c r="C6" s="583"/>
      <c r="D6" s="583"/>
      <c r="E6" s="583"/>
      <c r="F6" s="583"/>
      <c r="G6" s="587"/>
      <c r="H6" s="587"/>
    </row>
    <row r="7" spans="1:8">
      <c r="A7" s="587" t="s">
        <v>3</v>
      </c>
      <c r="B7" s="1421"/>
      <c r="C7" s="583" t="s">
        <v>472</v>
      </c>
      <c r="D7" s="1407"/>
      <c r="E7" s="1407"/>
      <c r="F7" s="1407"/>
      <c r="G7" s="587"/>
      <c r="H7" s="587" t="s">
        <v>3</v>
      </c>
    </row>
    <row r="8" spans="1:8">
      <c r="A8" s="445" t="s">
        <v>24</v>
      </c>
      <c r="B8" s="583"/>
      <c r="C8" s="1422" t="s">
        <v>473</v>
      </c>
      <c r="D8" s="1407"/>
      <c r="E8" s="1411" t="s">
        <v>123</v>
      </c>
      <c r="F8" s="1407"/>
      <c r="G8" s="1411" t="s">
        <v>8</v>
      </c>
      <c r="H8" s="445" t="s">
        <v>24</v>
      </c>
    </row>
    <row r="9" spans="1:8">
      <c r="C9" s="583"/>
      <c r="D9" s="583"/>
      <c r="F9" s="1407"/>
      <c r="H9" s="587"/>
    </row>
    <row r="10" spans="1:8" s="1461" customFormat="1" ht="16.5" thickBot="1">
      <c r="A10" s="587">
        <v>1</v>
      </c>
      <c r="B10" s="765" t="s">
        <v>943</v>
      </c>
      <c r="C10" s="583"/>
      <c r="D10" s="583"/>
      <c r="E10" s="1501">
        <v>0</v>
      </c>
      <c r="F10" s="1454"/>
      <c r="G10" s="587" t="s">
        <v>125</v>
      </c>
      <c r="H10" s="583">
        <f>A10</f>
        <v>1</v>
      </c>
    </row>
    <row r="11" spans="1:8" s="1461" customFormat="1" ht="16.5" thickTop="1">
      <c r="A11" s="583">
        <f t="shared" ref="A11:A16" si="0">A10+1</f>
        <v>2</v>
      </c>
      <c r="C11" s="583"/>
      <c r="D11" s="583"/>
      <c r="F11" s="1454"/>
      <c r="G11" s="1517"/>
      <c r="H11" s="292">
        <f>H10+1</f>
        <v>2</v>
      </c>
    </row>
    <row r="12" spans="1:8" ht="19.5" thickBot="1">
      <c r="A12" s="583">
        <f t="shared" si="0"/>
        <v>3</v>
      </c>
      <c r="B12" s="765" t="s">
        <v>848</v>
      </c>
      <c r="E12" s="1423">
        <v>0</v>
      </c>
      <c r="F12" s="1407"/>
      <c r="G12" s="587"/>
      <c r="H12" s="292">
        <f t="shared" ref="H12:H16" si="1">H11+1</f>
        <v>3</v>
      </c>
    </row>
    <row r="13" spans="1:8" ht="16.5" thickTop="1">
      <c r="A13" s="583">
        <f t="shared" si="0"/>
        <v>4</v>
      </c>
      <c r="F13" s="1407"/>
      <c r="G13" s="1517"/>
      <c r="H13" s="292">
        <f t="shared" si="1"/>
        <v>4</v>
      </c>
    </row>
    <row r="14" spans="1:8" ht="19.5" thickBot="1">
      <c r="A14" s="583">
        <f t="shared" si="0"/>
        <v>5</v>
      </c>
      <c r="B14" s="765" t="s">
        <v>849</v>
      </c>
      <c r="E14" s="1423">
        <v>0</v>
      </c>
      <c r="F14" s="1407"/>
      <c r="G14" s="587"/>
      <c r="H14" s="292">
        <f t="shared" si="1"/>
        <v>5</v>
      </c>
    </row>
    <row r="15" spans="1:8" s="1461" customFormat="1" ht="16.5" thickTop="1">
      <c r="A15" s="583">
        <f t="shared" si="0"/>
        <v>6</v>
      </c>
      <c r="B15" s="765"/>
      <c r="E15" s="1502"/>
      <c r="F15" s="1454"/>
      <c r="G15" s="587"/>
      <c r="H15" s="292">
        <f t="shared" si="1"/>
        <v>6</v>
      </c>
    </row>
    <row r="16" spans="1:8" s="1461" customFormat="1" ht="16.5" thickBot="1">
      <c r="A16" s="583">
        <f t="shared" si="0"/>
        <v>7</v>
      </c>
      <c r="B16" s="765" t="s">
        <v>911</v>
      </c>
      <c r="E16" s="1501">
        <v>0</v>
      </c>
      <c r="F16" s="1454"/>
      <c r="G16" s="587" t="s">
        <v>125</v>
      </c>
      <c r="H16" s="292">
        <f t="shared" si="1"/>
        <v>7</v>
      </c>
    </row>
    <row r="17" spans="1:8" ht="16.5" thickTop="1">
      <c r="H17" s="583"/>
    </row>
    <row r="18" spans="1:8">
      <c r="H18" s="583"/>
    </row>
    <row r="19" spans="1:8" ht="18.75">
      <c r="A19" s="1234">
        <v>1</v>
      </c>
      <c r="B19" s="397" t="s">
        <v>969</v>
      </c>
      <c r="H19" s="583"/>
    </row>
    <row r="20" spans="1:8">
      <c r="B20" s="397" t="s">
        <v>850</v>
      </c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69" orientation="portrait" r:id="rId1"/>
  <headerFooter scaleWithDoc="0">
    <oddFooter>&amp;C&amp;"Times New Roman,Regular"&amp;10Misc.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C3"/>
  <sheetViews>
    <sheetView zoomScale="80" zoomScaleNormal="80" workbookViewId="0">
      <selection activeCell="C7" sqref="C7"/>
    </sheetView>
  </sheetViews>
  <sheetFormatPr defaultColWidth="8.85546875" defaultRowHeight="15.75"/>
  <cols>
    <col min="1" max="1" width="28.85546875" style="18" customWidth="1"/>
    <col min="2" max="2" width="14.140625" style="18" customWidth="1"/>
    <col min="3" max="3" width="29.5703125" style="18" customWidth="1"/>
    <col min="4" max="4" width="17.42578125" style="18" customWidth="1"/>
    <col min="5" max="16384" width="8.85546875" style="18"/>
  </cols>
  <sheetData>
    <row r="1" spans="1:3">
      <c r="A1" s="230" t="s">
        <v>300</v>
      </c>
      <c r="B1" s="229">
        <v>5</v>
      </c>
      <c r="C1" s="229"/>
    </row>
    <row r="2" spans="1:3">
      <c r="A2" s="230" t="s">
        <v>299</v>
      </c>
      <c r="B2" s="229">
        <v>3</v>
      </c>
      <c r="C2" s="229"/>
    </row>
    <row r="3" spans="1:3">
      <c r="A3" s="230" t="s">
        <v>264</v>
      </c>
      <c r="B3" s="229">
        <v>2019</v>
      </c>
      <c r="C3" s="229"/>
    </row>
  </sheetData>
  <printOptions horizontalCentered="1"/>
  <pageMargins left="0.5" right="0.5" top="0.5" bottom="0.5" header="0.25" footer="0.25"/>
  <pageSetup orientation="portrait" r:id="rId1"/>
  <headerFooter scaleWithDoc="0">
    <oddFooter>&amp;C&amp;"Times New Roman,Regular"&amp;10&amp;A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53"/>
  <sheetViews>
    <sheetView zoomScale="80" zoomScaleNormal="80" workbookViewId="0">
      <selection activeCell="C7" sqref="C7"/>
    </sheetView>
  </sheetViews>
  <sheetFormatPr defaultColWidth="8.85546875" defaultRowHeight="15.75"/>
  <cols>
    <col min="1" max="1" width="5.140625" style="587" customWidth="1"/>
    <col min="2" max="2" width="69.140625" style="4" customWidth="1"/>
    <col min="3" max="3" width="14.85546875" style="4" customWidth="1"/>
    <col min="4" max="4" width="50.85546875" style="4" bestFit="1" customWidth="1"/>
    <col min="5" max="5" width="5.140625" style="587" customWidth="1"/>
    <col min="6" max="16384" width="8.85546875" style="4"/>
  </cols>
  <sheetData>
    <row r="1" spans="1:7">
      <c r="A1" s="959"/>
      <c r="B1" s="1179"/>
      <c r="C1" s="1179"/>
      <c r="D1" s="1179"/>
      <c r="E1" s="959"/>
    </row>
    <row r="2" spans="1:7">
      <c r="A2" s="959"/>
      <c r="B2" s="1622" t="str">
        <f>'Summary of Cost Components'!B2:D2</f>
        <v>SAN DIEGO GAS &amp; ELECTRIC COMPANY</v>
      </c>
      <c r="C2" s="1622"/>
      <c r="D2" s="1622"/>
      <c r="E2" s="959"/>
    </row>
    <row r="3" spans="1:7">
      <c r="B3" s="1622" t="s">
        <v>951</v>
      </c>
      <c r="C3" s="1622"/>
      <c r="D3" s="1622"/>
      <c r="E3" s="1184"/>
    </row>
    <row r="4" spans="1:7">
      <c r="B4" s="1622" t="s">
        <v>273</v>
      </c>
      <c r="C4" s="1622"/>
      <c r="D4" s="1622"/>
      <c r="E4" s="1184"/>
    </row>
    <row r="5" spans="1:7">
      <c r="A5" s="959"/>
      <c r="B5" s="1621" t="str">
        <f>"Rate Effective Period January 1, "&amp;Automation!B3+1 &amp;" to December 31, "&amp;Automation!B3+1</f>
        <v>Rate Effective Period January 1, 2020 to December 31, 2020</v>
      </c>
      <c r="C5" s="1621"/>
      <c r="D5" s="1621"/>
      <c r="E5" s="959"/>
    </row>
    <row r="6" spans="1:7">
      <c r="B6" s="1623" t="s">
        <v>2</v>
      </c>
      <c r="C6" s="1622"/>
      <c r="D6" s="1622"/>
      <c r="E6" s="1184"/>
    </row>
    <row r="7" spans="1:7" ht="16.5" thickBot="1">
      <c r="A7" s="959"/>
      <c r="B7" s="1179"/>
      <c r="C7" s="1193"/>
      <c r="D7" s="1193"/>
      <c r="E7" s="959"/>
    </row>
    <row r="8" spans="1:7">
      <c r="A8" s="960" t="s">
        <v>3</v>
      </c>
      <c r="B8" s="904"/>
      <c r="C8" s="905"/>
      <c r="D8" s="906"/>
      <c r="E8" s="961" t="s">
        <v>3</v>
      </c>
    </row>
    <row r="9" spans="1:7">
      <c r="A9" s="960" t="s">
        <v>24</v>
      </c>
      <c r="B9" s="1394" t="s">
        <v>788</v>
      </c>
      <c r="C9" s="1395" t="s">
        <v>123</v>
      </c>
      <c r="D9" s="144" t="s">
        <v>8</v>
      </c>
      <c r="E9" s="961" t="s">
        <v>24</v>
      </c>
    </row>
    <row r="10" spans="1:7">
      <c r="A10" s="960"/>
      <c r="B10" s="142"/>
      <c r="C10" s="85"/>
      <c r="D10" s="145"/>
      <c r="E10" s="961"/>
    </row>
    <row r="11" spans="1:7">
      <c r="A11" s="960">
        <v>1</v>
      </c>
      <c r="B11" s="1396" t="s">
        <v>274</v>
      </c>
      <c r="C11" s="1449">
        <v>0</v>
      </c>
      <c r="D11" s="1222" t="str">
        <f>"Cycle "&amp;Automation!B2-1&amp;"; Summary of Cost Components; Line 1"</f>
        <v>Cycle 2; Summary of Cost Components; Line 1</v>
      </c>
      <c r="E11" s="961">
        <f>A11</f>
        <v>1</v>
      </c>
      <c r="G11" s="1194"/>
    </row>
    <row r="12" spans="1:7">
      <c r="A12" s="960">
        <f>A11+1</f>
        <v>2</v>
      </c>
      <c r="B12" s="98"/>
      <c r="C12" s="1392"/>
      <c r="D12" s="141"/>
      <c r="E12" s="961">
        <f>E11+1</f>
        <v>2</v>
      </c>
    </row>
    <row r="13" spans="1:7">
      <c r="A13" s="960">
        <f t="shared" ref="A13:A28" si="0">A12+1</f>
        <v>3</v>
      </c>
      <c r="B13" s="1396" t="s">
        <v>275</v>
      </c>
      <c r="C13" s="1107">
        <v>823.05279766953902</v>
      </c>
      <c r="D13" s="146" t="str">
        <f>"Cycle "&amp;Automation!B2-1&amp;"; Summary of Cost Components; Line 3"</f>
        <v>Cycle 2; Summary of Cost Components; Line 3</v>
      </c>
      <c r="E13" s="961">
        <f t="shared" ref="E13:E28" si="1">E12+1</f>
        <v>3</v>
      </c>
      <c r="G13" s="1195"/>
    </row>
    <row r="14" spans="1:7">
      <c r="A14" s="960">
        <f t="shared" si="0"/>
        <v>4</v>
      </c>
      <c r="B14" s="98"/>
      <c r="C14" s="1392"/>
      <c r="D14" s="147"/>
      <c r="E14" s="961">
        <f t="shared" si="1"/>
        <v>4</v>
      </c>
    </row>
    <row r="15" spans="1:7">
      <c r="A15" s="960">
        <f t="shared" si="0"/>
        <v>5</v>
      </c>
      <c r="B15" s="1396" t="s">
        <v>276</v>
      </c>
      <c r="C15" s="1399">
        <v>86.807849169600004</v>
      </c>
      <c r="D15" s="1104" t="str">
        <f>"Cycle "&amp;Automation!B2-1&amp;"; Summary of Cost Components; Line 5"</f>
        <v>Cycle 2; Summary of Cost Components; Line 5</v>
      </c>
      <c r="E15" s="961">
        <f t="shared" si="1"/>
        <v>5</v>
      </c>
      <c r="G15" s="1195"/>
    </row>
    <row r="16" spans="1:7">
      <c r="A16" s="960">
        <f t="shared" si="0"/>
        <v>6</v>
      </c>
      <c r="B16" s="88"/>
      <c r="C16" s="1392"/>
      <c r="D16" s="148"/>
      <c r="E16" s="961">
        <f t="shared" si="1"/>
        <v>6</v>
      </c>
    </row>
    <row r="17" spans="1:9">
      <c r="A17" s="960">
        <f t="shared" si="0"/>
        <v>7</v>
      </c>
      <c r="B17" s="1397" t="s">
        <v>822</v>
      </c>
      <c r="C17" s="1392">
        <f>C11+C13+C15</f>
        <v>909.86064683913901</v>
      </c>
      <c r="D17" s="151" t="str">
        <f>"Sum Lines "&amp;A11&amp;", "&amp;A13&amp;", "&amp;A15</f>
        <v>Sum Lines 1, 3, 5</v>
      </c>
      <c r="E17" s="961">
        <f t="shared" si="1"/>
        <v>7</v>
      </c>
    </row>
    <row r="18" spans="1:9">
      <c r="A18" s="960">
        <f t="shared" si="0"/>
        <v>8</v>
      </c>
      <c r="B18" s="88"/>
      <c r="C18" s="1392"/>
      <c r="D18" s="1406"/>
      <c r="E18" s="961">
        <f t="shared" si="1"/>
        <v>8</v>
      </c>
    </row>
    <row r="19" spans="1:9">
      <c r="A19" s="960">
        <f t="shared" si="0"/>
        <v>9</v>
      </c>
      <c r="B19" s="1463" t="s">
        <v>568</v>
      </c>
      <c r="C19" s="1107">
        <v>0</v>
      </c>
      <c r="D19" s="1104" t="str">
        <f>"Cycle "&amp;Automation!B2-1&amp;"; Summary of Cost Components; Line 9"</f>
        <v>Cycle 2; Summary of Cost Components; Line 9</v>
      </c>
      <c r="E19" s="961">
        <f t="shared" si="1"/>
        <v>9</v>
      </c>
    </row>
    <row r="20" spans="1:9">
      <c r="A20" s="960">
        <f t="shared" si="0"/>
        <v>10</v>
      </c>
      <c r="B20" s="1396"/>
      <c r="C20" s="1392"/>
      <c r="D20" s="149"/>
      <c r="E20" s="961">
        <f t="shared" si="1"/>
        <v>10</v>
      </c>
    </row>
    <row r="21" spans="1:9">
      <c r="A21" s="960">
        <f t="shared" si="0"/>
        <v>11</v>
      </c>
      <c r="B21" s="1396" t="s">
        <v>277</v>
      </c>
      <c r="C21" s="1450">
        <v>0</v>
      </c>
      <c r="D21" s="1104" t="str">
        <f>"Cycle "&amp;Automation!B2-1&amp;"; Summary of Cost Components; Line 11"</f>
        <v>Cycle 2; Summary of Cost Components; Line 11</v>
      </c>
      <c r="E21" s="961">
        <f t="shared" si="1"/>
        <v>11</v>
      </c>
      <c r="G21" s="1194"/>
    </row>
    <row r="22" spans="1:9">
      <c r="A22" s="960">
        <f t="shared" si="0"/>
        <v>12</v>
      </c>
      <c r="B22" s="88"/>
      <c r="C22" s="1393"/>
      <c r="D22" s="150"/>
      <c r="E22" s="961">
        <f t="shared" si="1"/>
        <v>12</v>
      </c>
    </row>
    <row r="23" spans="1:9">
      <c r="A23" s="960">
        <f t="shared" si="0"/>
        <v>13</v>
      </c>
      <c r="B23" s="88" t="s">
        <v>789</v>
      </c>
      <c r="C23" s="314">
        <f>C17+C19+C21</f>
        <v>909.86064683913901</v>
      </c>
      <c r="D23" s="151" t="str">
        <f>"Sum Lines "&amp;A17&amp;", "&amp;A19&amp;", "&amp;A21</f>
        <v>Sum Lines 7, 9, 11</v>
      </c>
      <c r="E23" s="961">
        <f t="shared" si="1"/>
        <v>13</v>
      </c>
    </row>
    <row r="24" spans="1:9">
      <c r="A24" s="960">
        <f t="shared" si="0"/>
        <v>14</v>
      </c>
      <c r="B24" s="88"/>
      <c r="C24" s="1005"/>
      <c r="D24" s="150"/>
      <c r="E24" s="961">
        <f t="shared" si="1"/>
        <v>14</v>
      </c>
    </row>
    <row r="25" spans="1:9">
      <c r="A25" s="960">
        <f t="shared" si="0"/>
        <v>15</v>
      </c>
      <c r="B25" s="1396" t="s">
        <v>790</v>
      </c>
      <c r="C25" s="1398">
        <v>0</v>
      </c>
      <c r="D25" s="1104" t="s">
        <v>819</v>
      </c>
      <c r="E25" s="961">
        <f t="shared" si="1"/>
        <v>15</v>
      </c>
      <c r="G25" s="1195"/>
    </row>
    <row r="26" spans="1:9">
      <c r="A26" s="960">
        <f t="shared" si="0"/>
        <v>16</v>
      </c>
      <c r="B26" s="97"/>
      <c r="C26" s="1009"/>
      <c r="D26" s="150"/>
      <c r="E26" s="961">
        <f t="shared" si="1"/>
        <v>16</v>
      </c>
    </row>
    <row r="27" spans="1:9" ht="16.5" thickBot="1">
      <c r="A27" s="960">
        <f t="shared" si="0"/>
        <v>17</v>
      </c>
      <c r="B27" s="1397" t="s">
        <v>791</v>
      </c>
      <c r="C27" s="1010">
        <f>C23+C25</f>
        <v>909.86064683913901</v>
      </c>
      <c r="D27" s="68" t="str">
        <f>"Line "&amp;A23&amp;" + Line "&amp;A25</f>
        <v>Line 13 + Line 15</v>
      </c>
      <c r="E27" s="961">
        <f t="shared" si="1"/>
        <v>17</v>
      </c>
      <c r="H27" s="1194"/>
      <c r="I27" s="1196"/>
    </row>
    <row r="28" spans="1:9" ht="17.25" thickTop="1" thickBot="1">
      <c r="A28" s="960">
        <f t="shared" si="0"/>
        <v>18</v>
      </c>
      <c r="B28" s="86"/>
      <c r="C28" s="86"/>
      <c r="D28" s="153"/>
      <c r="E28" s="961">
        <f t="shared" si="1"/>
        <v>18</v>
      </c>
    </row>
    <row r="30" spans="1:9" ht="16.5" thickBot="1">
      <c r="A30" s="959"/>
      <c r="B30" s="1115"/>
      <c r="C30" s="1116"/>
      <c r="D30" s="1116"/>
      <c r="E30" s="959"/>
    </row>
    <row r="31" spans="1:9">
      <c r="A31" s="960" t="s">
        <v>3</v>
      </c>
      <c r="B31" s="84"/>
      <c r="C31" s="84"/>
      <c r="D31" s="141"/>
      <c r="E31" s="961" t="s">
        <v>3</v>
      </c>
    </row>
    <row r="32" spans="1:9">
      <c r="A32" s="960" t="s">
        <v>24</v>
      </c>
      <c r="B32" s="1394" t="s">
        <v>792</v>
      </c>
      <c r="C32" s="1395" t="str">
        <f>C9</f>
        <v>Amounts</v>
      </c>
      <c r="D32" s="144" t="str">
        <f>D9</f>
        <v>Reference</v>
      </c>
      <c r="E32" s="961" t="s">
        <v>24</v>
      </c>
    </row>
    <row r="33" spans="1:5">
      <c r="A33" s="960">
        <f>A28+1</f>
        <v>19</v>
      </c>
      <c r="B33" s="83"/>
      <c r="C33" s="85"/>
      <c r="D33" s="145"/>
      <c r="E33" s="961">
        <f>E28+1</f>
        <v>19</v>
      </c>
    </row>
    <row r="34" spans="1:5">
      <c r="A34" s="960">
        <f>A33+1</f>
        <v>20</v>
      </c>
      <c r="B34" s="1432" t="str">
        <f>B11</f>
        <v>Section 1 - Direct Maintenance Expense Cost Component</v>
      </c>
      <c r="C34" s="1346">
        <f>C11/12</f>
        <v>0</v>
      </c>
      <c r="D34" s="146" t="str">
        <f>"Line "&amp;A11&amp;" / "&amp;C50&amp;" Months"</f>
        <v>Line 1 / 12 Months</v>
      </c>
      <c r="E34" s="961">
        <f>E33+1</f>
        <v>20</v>
      </c>
    </row>
    <row r="35" spans="1:5">
      <c r="A35" s="960">
        <f t="shared" ref="A35:A53" si="2">A34+1</f>
        <v>21</v>
      </c>
      <c r="B35" s="1197"/>
      <c r="C35" s="32"/>
      <c r="D35" s="140"/>
      <c r="E35" s="961">
        <f t="shared" ref="E35:E53" si="3">E34+1</f>
        <v>21</v>
      </c>
    </row>
    <row r="36" spans="1:5">
      <c r="A36" s="960">
        <f t="shared" si="2"/>
        <v>22</v>
      </c>
      <c r="B36" s="1432" t="str">
        <f>B13</f>
        <v>Section 2 - Non-Direct Expense Cost Component</v>
      </c>
      <c r="C36" s="1428">
        <f>C13/12</f>
        <v>68.587733139128247</v>
      </c>
      <c r="D36" s="146" t="str">
        <f>"Line "&amp;A13&amp;" / "&amp;C50&amp;" Months"</f>
        <v>Line 3 / 12 Months</v>
      </c>
      <c r="E36" s="961">
        <f t="shared" si="3"/>
        <v>22</v>
      </c>
    </row>
    <row r="37" spans="1:5">
      <c r="A37" s="960">
        <f t="shared" si="2"/>
        <v>23</v>
      </c>
      <c r="B37" s="1197"/>
      <c r="C37" s="1348"/>
      <c r="D37" s="154"/>
      <c r="E37" s="961">
        <f t="shared" si="3"/>
        <v>23</v>
      </c>
    </row>
    <row r="38" spans="1:5">
      <c r="A38" s="960">
        <f t="shared" si="2"/>
        <v>24</v>
      </c>
      <c r="B38" s="1432" t="str">
        <f>B15</f>
        <v>Section 3 - Cost Component Containing Other Specific Expenses</v>
      </c>
      <c r="C38" s="1429">
        <f>C15/12</f>
        <v>7.2339874308000001</v>
      </c>
      <c r="D38" s="146" t="str">
        <f>"Line "&amp;A15&amp;" / "&amp;C50&amp;" Months"</f>
        <v>Line 5 / 12 Months</v>
      </c>
      <c r="E38" s="961">
        <f t="shared" si="3"/>
        <v>24</v>
      </c>
    </row>
    <row r="39" spans="1:5">
      <c r="A39" s="960">
        <f t="shared" si="2"/>
        <v>25</v>
      </c>
      <c r="B39" s="143"/>
      <c r="C39" s="1347"/>
      <c r="D39" s="146"/>
      <c r="E39" s="961">
        <f t="shared" si="3"/>
        <v>25</v>
      </c>
    </row>
    <row r="40" spans="1:5">
      <c r="A40" s="960">
        <f t="shared" si="2"/>
        <v>26</v>
      </c>
      <c r="B40" s="1397" t="s">
        <v>823</v>
      </c>
      <c r="C40" s="1556">
        <f>C34+C36+C38</f>
        <v>75.821720569928246</v>
      </c>
      <c r="D40" s="151" t="str">
        <f>"Sum Lines "&amp;A34&amp;", "&amp;A36&amp;", "&amp;A38</f>
        <v>Sum Lines 20, 22, 24</v>
      </c>
      <c r="E40" s="961">
        <f t="shared" si="3"/>
        <v>26</v>
      </c>
    </row>
    <row r="41" spans="1:5">
      <c r="A41" s="960">
        <f t="shared" si="2"/>
        <v>27</v>
      </c>
      <c r="B41" s="83"/>
      <c r="C41" s="1348"/>
      <c r="D41" s="147"/>
      <c r="E41" s="961">
        <f t="shared" si="3"/>
        <v>27</v>
      </c>
    </row>
    <row r="42" spans="1:5">
      <c r="A42" s="960">
        <f t="shared" si="2"/>
        <v>28</v>
      </c>
      <c r="B42" s="1432" t="str">
        <f>LEFT(B19,45)</f>
        <v>Section 4 - True-Up Adjustment Cost Component</v>
      </c>
      <c r="C42" s="1347">
        <f>C19/12</f>
        <v>0</v>
      </c>
      <c r="D42" s="146" t="str">
        <f>"Line "&amp;A19&amp;" / "&amp;C4913&amp;" Months"</f>
        <v>Line 9 /  Months</v>
      </c>
      <c r="E42" s="961">
        <f t="shared" si="3"/>
        <v>28</v>
      </c>
    </row>
    <row r="43" spans="1:5">
      <c r="A43" s="960">
        <f t="shared" si="2"/>
        <v>29</v>
      </c>
      <c r="B43" s="1432"/>
      <c r="C43" s="1348"/>
      <c r="D43" s="155"/>
      <c r="E43" s="961">
        <f t="shared" si="3"/>
        <v>29</v>
      </c>
    </row>
    <row r="44" spans="1:5">
      <c r="A44" s="960">
        <f t="shared" si="2"/>
        <v>30</v>
      </c>
      <c r="B44" s="1432" t="str">
        <f>B21</f>
        <v>Section 5 - Interest True-Up Adjustment Cost Component</v>
      </c>
      <c r="C44" s="1347">
        <f>C21/12</f>
        <v>0</v>
      </c>
      <c r="D44" s="150" t="str">
        <f>"Line "&amp;A21&amp;" / "&amp;C50&amp;" Months"</f>
        <v>Line 11 / 12 Months</v>
      </c>
      <c r="E44" s="961">
        <f t="shared" si="3"/>
        <v>30</v>
      </c>
    </row>
    <row r="45" spans="1:5">
      <c r="A45" s="960">
        <f t="shared" si="2"/>
        <v>31</v>
      </c>
      <c r="B45" s="143"/>
      <c r="C45" s="1349"/>
      <c r="D45" s="152"/>
      <c r="E45" s="961">
        <f t="shared" si="3"/>
        <v>31</v>
      </c>
    </row>
    <row r="46" spans="1:5">
      <c r="A46" s="960">
        <f t="shared" si="2"/>
        <v>32</v>
      </c>
      <c r="B46" s="1396" t="str">
        <f>B25</f>
        <v>Other Adjustments</v>
      </c>
      <c r="C46" s="1350">
        <f>C25/12</f>
        <v>0</v>
      </c>
      <c r="D46" s="150" t="str">
        <f>"Line "&amp;A25&amp;" / "&amp;C50&amp;" Months"</f>
        <v>Line 15 / 12 Months</v>
      </c>
      <c r="E46" s="961">
        <f t="shared" si="3"/>
        <v>32</v>
      </c>
    </row>
    <row r="47" spans="1:5">
      <c r="A47" s="960">
        <f t="shared" si="2"/>
        <v>33</v>
      </c>
      <c r="B47" s="88"/>
      <c r="C47" s="1351"/>
      <c r="D47" s="1345"/>
      <c r="E47" s="961">
        <f t="shared" si="3"/>
        <v>33</v>
      </c>
    </row>
    <row r="48" spans="1:5" ht="16.5" thickBot="1">
      <c r="A48" s="960">
        <f t="shared" si="2"/>
        <v>34</v>
      </c>
      <c r="B48" s="88" t="s">
        <v>793</v>
      </c>
      <c r="C48" s="1435">
        <f>C40+C42+C44+C46</f>
        <v>75.821720569928246</v>
      </c>
      <c r="D48" s="151" t="str">
        <f>"Sum Lines "&amp;A40&amp;", "&amp;A42&amp;", "&amp;A44&amp;", "&amp;A46</f>
        <v>Sum Lines 26, 28, 30, 32</v>
      </c>
      <c r="E48" s="961">
        <f t="shared" si="3"/>
        <v>34</v>
      </c>
    </row>
    <row r="49" spans="1:5" ht="16.5" thickTop="1">
      <c r="A49" s="960">
        <f t="shared" si="2"/>
        <v>35</v>
      </c>
      <c r="B49" s="83"/>
      <c r="C49" s="31"/>
      <c r="D49" s="156"/>
      <c r="E49" s="961">
        <f t="shared" si="3"/>
        <v>35</v>
      </c>
    </row>
    <row r="50" spans="1:5">
      <c r="A50" s="960">
        <f t="shared" si="2"/>
        <v>36</v>
      </c>
      <c r="B50" s="1197" t="s">
        <v>681</v>
      </c>
      <c r="C50" s="926">
        <v>12</v>
      </c>
      <c r="D50" s="156"/>
      <c r="E50" s="961">
        <f t="shared" si="3"/>
        <v>36</v>
      </c>
    </row>
    <row r="51" spans="1:5">
      <c r="A51" s="960">
        <f t="shared" si="2"/>
        <v>37</v>
      </c>
      <c r="B51" s="83"/>
      <c r="C51" s="31"/>
      <c r="D51" s="157"/>
      <c r="E51" s="961">
        <f t="shared" si="3"/>
        <v>37</v>
      </c>
    </row>
    <row r="52" spans="1:5" ht="16.5" thickBot="1">
      <c r="A52" s="960">
        <f t="shared" si="2"/>
        <v>38</v>
      </c>
      <c r="B52" s="1397" t="str">
        <f>B27</f>
        <v>Total Annual Costs</v>
      </c>
      <c r="C52" s="1003">
        <f>C48*C50</f>
        <v>909.86064683913901</v>
      </c>
      <c r="D52" s="150" t="str">
        <f>"Line "&amp;A48&amp;" x Line "&amp;A50</f>
        <v>Line 34 x Line 36</v>
      </c>
      <c r="E52" s="961">
        <f t="shared" si="3"/>
        <v>38</v>
      </c>
    </row>
    <row r="53" spans="1:5" ht="17.25" thickTop="1" thickBot="1">
      <c r="A53" s="960">
        <f t="shared" si="2"/>
        <v>39</v>
      </c>
      <c r="B53" s="87"/>
      <c r="C53" s="30"/>
      <c r="D53" s="158"/>
      <c r="E53" s="961">
        <f t="shared" si="3"/>
        <v>39</v>
      </c>
    </row>
  </sheetData>
  <mergeCells count="5">
    <mergeCell ref="B3:D3"/>
    <mergeCell ref="B4:D4"/>
    <mergeCell ref="B5:D5"/>
    <mergeCell ref="B6:D6"/>
    <mergeCell ref="B2:D2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Roman,Regular"&amp;10Section 4
Invoice Summary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36"/>
  <sheetViews>
    <sheetView zoomScale="80" zoomScaleNormal="80" zoomScaleSheetLayoutView="70" workbookViewId="0">
      <selection activeCell="C7" sqref="C7"/>
    </sheetView>
  </sheetViews>
  <sheetFormatPr defaultColWidth="9.140625" defaultRowHeight="15.75"/>
  <cols>
    <col min="1" max="1" width="5.140625" style="587" customWidth="1"/>
    <col min="2" max="3" width="19.5703125" style="397" customWidth="1"/>
    <col min="4" max="5" width="20.85546875" style="397" customWidth="1"/>
    <col min="6" max="6" width="35.5703125" style="694" customWidth="1"/>
    <col min="7" max="7" width="20.85546875" style="397" customWidth="1"/>
    <col min="8" max="8" width="35.140625" style="397" customWidth="1"/>
    <col min="9" max="9" width="5.140625" style="587" customWidth="1"/>
    <col min="10" max="10" width="8.85546875" style="397" customWidth="1"/>
    <col min="11" max="11" width="9" style="397" customWidth="1"/>
    <col min="12" max="12" width="14" style="397" customWidth="1"/>
    <col min="13" max="13" width="13.140625" style="397" customWidth="1"/>
    <col min="14" max="14" width="12.85546875" style="397" customWidth="1"/>
    <col min="15" max="15" width="13.5703125" style="397" customWidth="1"/>
    <col min="16" max="16" width="12.5703125" style="397" customWidth="1"/>
    <col min="17" max="16384" width="9.140625" style="397"/>
  </cols>
  <sheetData>
    <row r="1" spans="1:13">
      <c r="M1" s="1219"/>
    </row>
    <row r="2" spans="1:13" s="1548" customFormat="1">
      <c r="A2" s="587"/>
      <c r="B2" s="1635" t="str">
        <f>'Summary of Cost Components'!B2:D2</f>
        <v>SAN DIEGO GAS &amp; ELECTRIC COMPANY</v>
      </c>
      <c r="C2" s="1635"/>
      <c r="D2" s="1635"/>
      <c r="E2" s="1635"/>
      <c r="F2" s="1635"/>
      <c r="G2" s="1635"/>
      <c r="H2" s="1635"/>
      <c r="I2" s="587"/>
      <c r="M2" s="1219"/>
    </row>
    <row r="3" spans="1:13">
      <c r="B3" s="1635" t="str">
        <f>'Summary of Cost Components'!B3:D3</f>
        <v>CITIZENS' SHARE OF THE SX-PQ UNDERGROUND LINE SEGMENT</v>
      </c>
      <c r="C3" s="1635"/>
      <c r="D3" s="1635"/>
      <c r="E3" s="1635"/>
      <c r="F3" s="1635"/>
      <c r="G3" s="1635"/>
      <c r="H3" s="1635"/>
      <c r="I3" s="1182"/>
      <c r="J3" s="1182"/>
      <c r="M3" s="1219"/>
    </row>
    <row r="4" spans="1:13">
      <c r="B4" s="1636" t="str">
        <f>"Derivation of Interest on the 12-Month True-Up Adjustment Applicable to Citizens Cycle "&amp;Automation!B2-1</f>
        <v>Derivation of Interest on the 12-Month True-Up Adjustment Applicable to Citizens Cycle 2</v>
      </c>
      <c r="C4" s="1636"/>
      <c r="D4" s="1636"/>
      <c r="E4" s="1636"/>
      <c r="F4" s="1636"/>
      <c r="G4" s="1636"/>
      <c r="H4" s="1636"/>
      <c r="I4" s="1182"/>
      <c r="J4" s="1182"/>
      <c r="M4" s="1219"/>
    </row>
    <row r="5" spans="1:13">
      <c r="B5" s="1637" t="str">
        <f>'D. Sec.4 - TU'!B5:N5</f>
        <v>True-Up Period - June 1, 2019 to December 31, 2019</v>
      </c>
      <c r="C5" s="1637"/>
      <c r="D5" s="1637"/>
      <c r="E5" s="1637"/>
      <c r="F5" s="1637"/>
      <c r="G5" s="1637"/>
      <c r="H5" s="1637"/>
      <c r="I5" s="1182"/>
      <c r="J5" s="1182"/>
      <c r="M5" s="1219"/>
    </row>
    <row r="6" spans="1:13">
      <c r="B6" s="1633" t="s">
        <v>2</v>
      </c>
      <c r="C6" s="1633"/>
      <c r="D6" s="1633"/>
      <c r="E6" s="1633"/>
      <c r="F6" s="1633"/>
      <c r="G6" s="1633"/>
      <c r="H6" s="1633"/>
      <c r="I6" s="1182"/>
      <c r="J6" s="1182"/>
    </row>
    <row r="7" spans="1:13">
      <c r="A7" s="1182"/>
      <c r="B7" s="1182"/>
      <c r="C7" s="1182"/>
      <c r="D7" s="1182"/>
      <c r="E7" s="1182"/>
      <c r="F7" s="1182"/>
      <c r="G7" s="1182"/>
      <c r="H7" s="1182"/>
      <c r="I7" s="1182"/>
      <c r="J7" s="1182"/>
    </row>
    <row r="8" spans="1:13">
      <c r="A8" s="587" t="s">
        <v>3</v>
      </c>
      <c r="B8" s="1182"/>
      <c r="C8" s="1182"/>
      <c r="D8" s="1182"/>
      <c r="E8" s="1182"/>
      <c r="F8" s="1182"/>
      <c r="G8" s="1182"/>
      <c r="H8" s="1182"/>
      <c r="I8" s="587" t="s">
        <v>3</v>
      </c>
      <c r="J8" s="1182"/>
    </row>
    <row r="9" spans="1:13">
      <c r="A9" s="445" t="s">
        <v>24</v>
      </c>
      <c r="E9" s="1205"/>
      <c r="F9" s="397"/>
      <c r="I9" s="445" t="s">
        <v>24</v>
      </c>
      <c r="J9" s="791"/>
    </row>
    <row r="10" spans="1:13">
      <c r="A10" s="791"/>
      <c r="E10" s="1205"/>
      <c r="F10" s="397"/>
      <c r="I10" s="791"/>
      <c r="J10" s="791"/>
    </row>
    <row r="11" spans="1:13">
      <c r="A11" s="587">
        <v>1</v>
      </c>
      <c r="C11" s="1126" t="s">
        <v>694</v>
      </c>
      <c r="D11" s="1126" t="s">
        <v>695</v>
      </c>
      <c r="E11" s="1126" t="s">
        <v>696</v>
      </c>
      <c r="F11" s="1126" t="s">
        <v>697</v>
      </c>
      <c r="G11" s="1126" t="s">
        <v>698</v>
      </c>
      <c r="H11" s="1126" t="s">
        <v>699</v>
      </c>
      <c r="I11" s="587">
        <f>A11</f>
        <v>1</v>
      </c>
      <c r="J11" s="587"/>
    </row>
    <row r="12" spans="1:13">
      <c r="A12" s="587">
        <f>A11+1</f>
        <v>2</v>
      </c>
      <c r="B12" s="701" t="s">
        <v>705</v>
      </c>
      <c r="C12" s="1126"/>
      <c r="D12" s="587"/>
      <c r="E12" s="587" t="str">
        <f>"See Footnote "&amp;A33</f>
        <v>See Footnote 2</v>
      </c>
      <c r="F12" s="587" t="str">
        <f>"See Footnote "&amp;A34</f>
        <v>See Footnote 3</v>
      </c>
      <c r="G12" s="808" t="str">
        <f>"See Footnote "&amp;A35</f>
        <v>See Footnote 4</v>
      </c>
      <c r="H12" s="808" t="str">
        <f>"= "&amp;F11&amp;" + "&amp;G11</f>
        <v>= Col. 4 + Col. 5</v>
      </c>
      <c r="I12" s="587">
        <f>I11+1</f>
        <v>2</v>
      </c>
      <c r="J12" s="587"/>
    </row>
    <row r="13" spans="1:13">
      <c r="A13" s="587">
        <f t="shared" ref="A13:A29" si="0">A12+1</f>
        <v>3</v>
      </c>
      <c r="C13" s="1126"/>
      <c r="D13" s="1126"/>
      <c r="E13" s="1126"/>
      <c r="F13" s="1182"/>
      <c r="G13" s="1126"/>
      <c r="H13" s="1126"/>
      <c r="I13" s="587">
        <f t="shared" ref="I13:I29" si="1">I12+1</f>
        <v>3</v>
      </c>
      <c r="J13" s="587"/>
    </row>
    <row r="14" spans="1:13">
      <c r="A14" s="587">
        <f t="shared" si="0"/>
        <v>4</v>
      </c>
      <c r="C14" s="1182"/>
      <c r="D14" s="1182" t="s">
        <v>740</v>
      </c>
      <c r="E14" s="1182" t="s">
        <v>707</v>
      </c>
      <c r="F14" s="1182" t="s">
        <v>741</v>
      </c>
      <c r="H14" s="1182" t="s">
        <v>741</v>
      </c>
      <c r="I14" s="587">
        <f t="shared" si="1"/>
        <v>4</v>
      </c>
      <c r="J14" s="587"/>
    </row>
    <row r="15" spans="1:13">
      <c r="A15" s="587">
        <f t="shared" si="0"/>
        <v>5</v>
      </c>
      <c r="C15" s="1182"/>
      <c r="D15" s="1182" t="s">
        <v>730</v>
      </c>
      <c r="E15" s="1182" t="s">
        <v>714</v>
      </c>
      <c r="F15" s="1182" t="s">
        <v>742</v>
      </c>
      <c r="G15" s="1182"/>
      <c r="H15" s="1182" t="s">
        <v>742</v>
      </c>
      <c r="I15" s="587">
        <f t="shared" si="1"/>
        <v>5</v>
      </c>
      <c r="J15" s="587"/>
    </row>
    <row r="16" spans="1:13" ht="18.75">
      <c r="A16" s="587">
        <f t="shared" si="0"/>
        <v>6</v>
      </c>
      <c r="B16" s="1129" t="s">
        <v>22</v>
      </c>
      <c r="C16" s="1129" t="s">
        <v>716</v>
      </c>
      <c r="D16" s="831" t="s">
        <v>743</v>
      </c>
      <c r="E16" s="831" t="s">
        <v>691</v>
      </c>
      <c r="F16" s="831" t="s">
        <v>721</v>
      </c>
      <c r="G16" s="831" t="s">
        <v>714</v>
      </c>
      <c r="H16" s="831" t="s">
        <v>722</v>
      </c>
      <c r="I16" s="587">
        <f t="shared" si="1"/>
        <v>6</v>
      </c>
      <c r="J16" s="587"/>
    </row>
    <row r="17" spans="1:10">
      <c r="A17" s="587">
        <f t="shared" si="0"/>
        <v>7</v>
      </c>
      <c r="B17" s="1131" t="s">
        <v>723</v>
      </c>
      <c r="C17" s="1132" t="str">
        <f>RIGHT(B5,4)</f>
        <v>2019</v>
      </c>
      <c r="D17" s="1462">
        <f>'D1. Sec.4 - PY Invoice Summary'!$C$19</f>
        <v>0</v>
      </c>
      <c r="E17" s="1223">
        <f>'D. Sec.4 - TU'!J19</f>
        <v>4.4000000000000003E-3</v>
      </c>
      <c r="F17" s="839">
        <v>0</v>
      </c>
      <c r="G17" s="839">
        <v>0</v>
      </c>
      <c r="H17" s="839">
        <v>0</v>
      </c>
      <c r="I17" s="587">
        <f t="shared" si="1"/>
        <v>7</v>
      </c>
      <c r="J17" s="587"/>
    </row>
    <row r="18" spans="1:10">
      <c r="A18" s="587">
        <f t="shared" si="0"/>
        <v>8</v>
      </c>
      <c r="B18" s="1134" t="s">
        <v>724</v>
      </c>
      <c r="C18" s="1132" t="str">
        <f>$C$17</f>
        <v>2019</v>
      </c>
      <c r="D18" s="1147"/>
      <c r="E18" s="1223">
        <f>'D. Sec.4 - TU'!J20</f>
        <v>4.0000000000000001E-3</v>
      </c>
      <c r="F18" s="1208">
        <v>0</v>
      </c>
      <c r="G18" s="1208">
        <v>0</v>
      </c>
      <c r="H18" s="1208">
        <v>0</v>
      </c>
      <c r="I18" s="587">
        <f t="shared" si="1"/>
        <v>8</v>
      </c>
      <c r="J18" s="587"/>
    </row>
    <row r="19" spans="1:10">
      <c r="A19" s="587">
        <f t="shared" si="0"/>
        <v>9</v>
      </c>
      <c r="B19" s="1134" t="s">
        <v>744</v>
      </c>
      <c r="C19" s="1132" t="str">
        <f t="shared" ref="C19:C28" si="2">$C$17</f>
        <v>2019</v>
      </c>
      <c r="D19" s="1147"/>
      <c r="E19" s="1223">
        <f>'D. Sec.4 - TU'!J21</f>
        <v>4.4000000000000003E-3</v>
      </c>
      <c r="F19" s="1208">
        <v>0</v>
      </c>
      <c r="G19" s="1208">
        <v>0</v>
      </c>
      <c r="H19" s="1208">
        <v>0</v>
      </c>
      <c r="I19" s="587">
        <f t="shared" si="1"/>
        <v>9</v>
      </c>
      <c r="J19" s="587"/>
    </row>
    <row r="20" spans="1:10">
      <c r="A20" s="587">
        <f t="shared" si="0"/>
        <v>10</v>
      </c>
      <c r="B20" s="1131" t="s">
        <v>745</v>
      </c>
      <c r="C20" s="1132" t="str">
        <f t="shared" si="2"/>
        <v>2019</v>
      </c>
      <c r="D20" s="1147"/>
      <c r="E20" s="1223">
        <f>'D. Sec.4 - TU'!J22</f>
        <v>4.4999999999999997E-3</v>
      </c>
      <c r="F20" s="1208">
        <v>0</v>
      </c>
      <c r="G20" s="1208">
        <v>0</v>
      </c>
      <c r="H20" s="1208">
        <v>0</v>
      </c>
      <c r="I20" s="587">
        <f t="shared" si="1"/>
        <v>10</v>
      </c>
      <c r="J20" s="587"/>
    </row>
    <row r="21" spans="1:10">
      <c r="A21" s="587">
        <f t="shared" si="0"/>
        <v>11</v>
      </c>
      <c r="B21" s="1134" t="s">
        <v>38</v>
      </c>
      <c r="C21" s="1132" t="str">
        <f t="shared" si="2"/>
        <v>2019</v>
      </c>
      <c r="D21" s="1147"/>
      <c r="E21" s="1223">
        <f>'D. Sec.4 - TU'!J23</f>
        <v>4.5999999999999999E-3</v>
      </c>
      <c r="F21" s="1208">
        <v>0</v>
      </c>
      <c r="G21" s="1208">
        <v>0</v>
      </c>
      <c r="H21" s="1208">
        <v>0</v>
      </c>
      <c r="I21" s="587">
        <f t="shared" si="1"/>
        <v>11</v>
      </c>
      <c r="J21" s="587"/>
    </row>
    <row r="22" spans="1:10">
      <c r="A22" s="587">
        <f t="shared" si="0"/>
        <v>12</v>
      </c>
      <c r="B22" s="1134" t="s">
        <v>746</v>
      </c>
      <c r="C22" s="1132" t="str">
        <f t="shared" si="2"/>
        <v>2019</v>
      </c>
      <c r="D22" s="1133"/>
      <c r="E22" s="1223">
        <f>'D. Sec.4 - TU'!J24</f>
        <v>4.4999999999999997E-3</v>
      </c>
      <c r="F22" s="1208">
        <f>D22</f>
        <v>0</v>
      </c>
      <c r="G22" s="1208">
        <f>((F22))*E22</f>
        <v>0</v>
      </c>
      <c r="H22" s="1208">
        <f t="shared" ref="H22:H28" si="3">F22+G22</f>
        <v>0</v>
      </c>
      <c r="I22" s="587">
        <f t="shared" si="1"/>
        <v>12</v>
      </c>
      <c r="J22" s="587"/>
    </row>
    <row r="23" spans="1:10">
      <c r="A23" s="587">
        <f t="shared" si="0"/>
        <v>13</v>
      </c>
      <c r="B23" s="1131" t="s">
        <v>747</v>
      </c>
      <c r="C23" s="1132" t="str">
        <f t="shared" si="2"/>
        <v>2019</v>
      </c>
      <c r="D23" s="1147"/>
      <c r="E23" s="1223">
        <f>'D. Sec.4 - TU'!J25</f>
        <v>4.7000000000000002E-3</v>
      </c>
      <c r="F23" s="1208">
        <f t="shared" ref="F23:F28" si="4">H22</f>
        <v>0</v>
      </c>
      <c r="G23" s="1208">
        <f t="shared" ref="G23:G28" si="5">((H22+F23)/2)*E23</f>
        <v>0</v>
      </c>
      <c r="H23" s="1208">
        <f>F23+G23</f>
        <v>0</v>
      </c>
      <c r="I23" s="587">
        <f t="shared" si="1"/>
        <v>13</v>
      </c>
      <c r="J23" s="587"/>
    </row>
    <row r="24" spans="1:10">
      <c r="A24" s="587">
        <f t="shared" si="0"/>
        <v>14</v>
      </c>
      <c r="B24" s="1134" t="s">
        <v>748</v>
      </c>
      <c r="C24" s="1132" t="str">
        <f t="shared" si="2"/>
        <v>2019</v>
      </c>
      <c r="D24" s="1147"/>
      <c r="E24" s="1223">
        <f>'D. Sec.4 - TU'!J26</f>
        <v>4.7000000000000002E-3</v>
      </c>
      <c r="F24" s="1208">
        <f t="shared" si="4"/>
        <v>0</v>
      </c>
      <c r="G24" s="1208">
        <f t="shared" si="5"/>
        <v>0</v>
      </c>
      <c r="H24" s="1208">
        <f t="shared" si="3"/>
        <v>0</v>
      </c>
      <c r="I24" s="587">
        <f t="shared" si="1"/>
        <v>14</v>
      </c>
      <c r="J24" s="587"/>
    </row>
    <row r="25" spans="1:10">
      <c r="A25" s="587">
        <f t="shared" si="0"/>
        <v>15</v>
      </c>
      <c r="B25" s="1134" t="s">
        <v>749</v>
      </c>
      <c r="C25" s="1132" t="str">
        <f t="shared" si="2"/>
        <v>2019</v>
      </c>
      <c r="D25" s="1147"/>
      <c r="E25" s="1223">
        <f>'D. Sec.4 - TU'!J27</f>
        <v>4.4999999999999997E-3</v>
      </c>
      <c r="F25" s="1208">
        <f t="shared" si="4"/>
        <v>0</v>
      </c>
      <c r="G25" s="1208">
        <f t="shared" si="5"/>
        <v>0</v>
      </c>
      <c r="H25" s="1208">
        <f t="shared" si="3"/>
        <v>0</v>
      </c>
      <c r="I25" s="587">
        <f t="shared" si="1"/>
        <v>15</v>
      </c>
      <c r="J25" s="587"/>
    </row>
    <row r="26" spans="1:10">
      <c r="A26" s="587">
        <f t="shared" si="0"/>
        <v>16</v>
      </c>
      <c r="B26" s="1131" t="s">
        <v>750</v>
      </c>
      <c r="C26" s="1132" t="str">
        <f t="shared" si="2"/>
        <v>2019</v>
      </c>
      <c r="D26" s="1147"/>
      <c r="E26" s="1223">
        <f>'D. Sec.4 - TU'!J28</f>
        <v>4.5999999999999999E-3</v>
      </c>
      <c r="F26" s="1208">
        <f t="shared" si="4"/>
        <v>0</v>
      </c>
      <c r="G26" s="1208">
        <f t="shared" si="5"/>
        <v>0</v>
      </c>
      <c r="H26" s="1208">
        <f t="shared" si="3"/>
        <v>0</v>
      </c>
      <c r="I26" s="587">
        <f t="shared" si="1"/>
        <v>16</v>
      </c>
      <c r="J26" s="587"/>
    </row>
    <row r="27" spans="1:10">
      <c r="A27" s="587">
        <f t="shared" si="0"/>
        <v>17</v>
      </c>
      <c r="B27" s="1131" t="s">
        <v>751</v>
      </c>
      <c r="C27" s="1132" t="str">
        <f t="shared" si="2"/>
        <v>2019</v>
      </c>
      <c r="D27" s="1147"/>
      <c r="E27" s="1223">
        <f>'D. Sec.4 - TU'!J29</f>
        <v>4.4999999999999997E-3</v>
      </c>
      <c r="F27" s="1208">
        <f t="shared" si="4"/>
        <v>0</v>
      </c>
      <c r="G27" s="1208">
        <f t="shared" si="5"/>
        <v>0</v>
      </c>
      <c r="H27" s="1208">
        <f t="shared" si="3"/>
        <v>0</v>
      </c>
      <c r="I27" s="587">
        <f t="shared" si="1"/>
        <v>17</v>
      </c>
      <c r="J27" s="587"/>
    </row>
    <row r="28" spans="1:10">
      <c r="A28" s="587">
        <f t="shared" si="0"/>
        <v>18</v>
      </c>
      <c r="B28" s="1138" t="s">
        <v>752</v>
      </c>
      <c r="C28" s="1139" t="str">
        <f t="shared" si="2"/>
        <v>2019</v>
      </c>
      <c r="D28" s="1148"/>
      <c r="E28" s="1224">
        <f>'D. Sec.4 - TU'!J30</f>
        <v>4.5999999999999999E-3</v>
      </c>
      <c r="F28" s="1142">
        <f t="shared" si="4"/>
        <v>0</v>
      </c>
      <c r="G28" s="1142">
        <f t="shared" si="5"/>
        <v>0</v>
      </c>
      <c r="H28" s="1142">
        <f t="shared" si="3"/>
        <v>0</v>
      </c>
      <c r="I28" s="587">
        <f t="shared" si="1"/>
        <v>18</v>
      </c>
      <c r="J28" s="587"/>
    </row>
    <row r="29" spans="1:10" ht="16.5" thickBot="1">
      <c r="A29" s="587">
        <f t="shared" si="0"/>
        <v>19</v>
      </c>
      <c r="B29" s="1149"/>
      <c r="C29" s="1132"/>
      <c r="D29" s="1147"/>
      <c r="E29" s="1225"/>
      <c r="F29" s="1226"/>
      <c r="G29" s="1227">
        <f>SUM(G22:G28)</f>
        <v>0</v>
      </c>
      <c r="H29" s="1226"/>
      <c r="I29" s="587">
        <f t="shared" si="1"/>
        <v>19</v>
      </c>
      <c r="J29" s="587"/>
    </row>
    <row r="30" spans="1:10" ht="16.5" thickTop="1">
      <c r="B30" s="1149"/>
      <c r="C30" s="1132"/>
      <c r="D30" s="1147"/>
      <c r="E30" s="1225"/>
      <c r="F30" s="1226"/>
      <c r="G30" s="1228"/>
      <c r="H30" s="1226"/>
      <c r="J30" s="587"/>
    </row>
    <row r="31" spans="1:10">
      <c r="B31" s="1134"/>
      <c r="C31" s="1132"/>
      <c r="D31" s="1229"/>
      <c r="E31" s="1147"/>
      <c r="F31" s="1230"/>
      <c r="G31" s="1225"/>
      <c r="H31" s="1231"/>
      <c r="I31" s="1232"/>
      <c r="J31" s="1233"/>
    </row>
    <row r="32" spans="1:10" ht="18.75">
      <c r="A32" s="1145">
        <v>1</v>
      </c>
      <c r="B32" s="1134" t="s">
        <v>753</v>
      </c>
      <c r="C32" s="1132"/>
      <c r="D32" s="1229"/>
      <c r="E32" s="1147"/>
      <c r="F32" s="1230"/>
      <c r="G32" s="1225"/>
      <c r="H32" s="1231"/>
      <c r="I32" s="1232"/>
      <c r="J32" s="1233"/>
    </row>
    <row r="33" spans="1:10" ht="18.75">
      <c r="A33" s="1234">
        <v>2</v>
      </c>
      <c r="B33" s="1134" t="s">
        <v>737</v>
      </c>
      <c r="C33" s="1132"/>
      <c r="D33" s="1229"/>
      <c r="E33" s="1147"/>
      <c r="F33" s="1230"/>
      <c r="G33" s="1225"/>
      <c r="H33" s="1231"/>
      <c r="I33" s="1232"/>
      <c r="J33" s="1233"/>
    </row>
    <row r="34" spans="1:10" ht="18.75">
      <c r="A34" s="1145">
        <v>3</v>
      </c>
      <c r="B34" s="397" t="s">
        <v>754</v>
      </c>
      <c r="C34" s="1132"/>
      <c r="D34" s="1229"/>
      <c r="E34" s="1147"/>
      <c r="F34" s="1230"/>
      <c r="G34" s="1225"/>
      <c r="H34" s="1231"/>
      <c r="I34" s="1232"/>
      <c r="J34" s="1233"/>
    </row>
    <row r="35" spans="1:10" ht="18.75">
      <c r="A35" s="1145">
        <v>4</v>
      </c>
      <c r="B35" s="397" t="s">
        <v>755</v>
      </c>
    </row>
    <row r="36" spans="1:10">
      <c r="B36" s="397" t="s">
        <v>756</v>
      </c>
    </row>
  </sheetData>
  <mergeCells count="5">
    <mergeCell ref="B3:H3"/>
    <mergeCell ref="B4:H4"/>
    <mergeCell ref="B5:H5"/>
    <mergeCell ref="B6:H6"/>
    <mergeCell ref="B2:H2"/>
  </mergeCells>
  <printOptions horizontalCentered="1"/>
  <pageMargins left="0.5" right="0.5" top="0.5" bottom="0.5" header="0.25" footer="0.25"/>
  <pageSetup scale="69" orientation="landscape" r:id="rId1"/>
  <headerFooter scaleWithDoc="0">
    <oddFooter>&amp;C&amp;"Times New Roman,Regular"&amp;10Section 5
Interest TU (BP)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38"/>
  <sheetViews>
    <sheetView zoomScale="80" zoomScaleNormal="80" zoomScaleSheetLayoutView="70" workbookViewId="0">
      <selection activeCell="C7" sqref="C7"/>
    </sheetView>
  </sheetViews>
  <sheetFormatPr defaultColWidth="9.140625" defaultRowHeight="15.75"/>
  <cols>
    <col min="1" max="1" width="5.140625" style="229" customWidth="1"/>
    <col min="2" max="3" width="21.42578125" style="229" customWidth="1"/>
    <col min="4" max="5" width="22" style="229" customWidth="1"/>
    <col min="6" max="6" width="22" style="1120" customWidth="1"/>
    <col min="7" max="9" width="22" style="229" customWidth="1"/>
    <col min="10" max="10" width="5.140625" style="163" customWidth="1"/>
    <col min="11" max="11" width="14" style="229" customWidth="1"/>
    <col min="12" max="12" width="13.140625" style="229" customWidth="1"/>
    <col min="13" max="13" width="12.85546875" style="229" customWidth="1"/>
    <col min="14" max="14" width="13.5703125" style="229" customWidth="1"/>
    <col min="15" max="15" width="12.5703125" style="229" customWidth="1"/>
    <col min="16" max="16384" width="9.140625" style="229"/>
  </cols>
  <sheetData>
    <row r="1" spans="1:10">
      <c r="A1" s="1119"/>
      <c r="B1" s="1154"/>
      <c r="C1" s="1155"/>
      <c r="D1" s="1156"/>
      <c r="E1" s="1157"/>
      <c r="F1" s="1158"/>
      <c r="G1" s="1159"/>
      <c r="H1" s="1160"/>
      <c r="I1" s="1160"/>
      <c r="J1" s="1161"/>
    </row>
    <row r="2" spans="1:10">
      <c r="A2" s="1549"/>
      <c r="B2" s="1638" t="str">
        <f>'Summary of Cost Components'!B2:D2</f>
        <v>SAN DIEGO GAS &amp; ELECTRIC COMPANY</v>
      </c>
      <c r="C2" s="1638"/>
      <c r="D2" s="1638"/>
      <c r="E2" s="1638"/>
      <c r="F2" s="1638"/>
      <c r="G2" s="1638"/>
      <c r="H2" s="1638"/>
      <c r="I2" s="1638"/>
      <c r="J2" s="1161"/>
    </row>
    <row r="3" spans="1:10">
      <c r="B3" s="1638" t="str">
        <f>'Summary of Cost Components'!B3:D3</f>
        <v>CITIZENS' SHARE OF THE SX-PQ UNDERGROUND LINE SEGMENT</v>
      </c>
      <c r="C3" s="1638"/>
      <c r="D3" s="1638"/>
      <c r="E3" s="1638"/>
      <c r="F3" s="1638"/>
      <c r="G3" s="1638"/>
      <c r="H3" s="1638"/>
      <c r="I3" s="1638"/>
      <c r="J3" s="1119"/>
    </row>
    <row r="4" spans="1:10">
      <c r="B4" s="1639" t="str">
        <f>'E. Sec.5 - Interest TU (BP)'!B4:H4</f>
        <v>Derivation of Interest on the 12-Month True-Up Adjustment Applicable to Citizens Cycle 2</v>
      </c>
      <c r="C4" s="1639"/>
      <c r="D4" s="1639"/>
      <c r="E4" s="1639"/>
      <c r="F4" s="1639"/>
      <c r="G4" s="1639"/>
      <c r="H4" s="1639"/>
      <c r="I4" s="1639"/>
      <c r="J4" s="1119"/>
    </row>
    <row r="5" spans="1:10">
      <c r="B5" s="1639" t="str">
        <f>'D. Sec.4 - TU'!B5:N5</f>
        <v>True-Up Period - June 1, 2019 to December 31, 2019</v>
      </c>
      <c r="C5" s="1639"/>
      <c r="D5" s="1639"/>
      <c r="E5" s="1639"/>
      <c r="F5" s="1639"/>
      <c r="G5" s="1639"/>
      <c r="H5" s="1639"/>
      <c r="I5" s="1639"/>
      <c r="J5" s="1119"/>
    </row>
    <row r="6" spans="1:10">
      <c r="B6" s="1640" t="s">
        <v>2</v>
      </c>
      <c r="C6" s="1640"/>
      <c r="D6" s="1640"/>
      <c r="E6" s="1640"/>
      <c r="F6" s="1640"/>
      <c r="G6" s="1640"/>
      <c r="H6" s="1640"/>
      <c r="I6" s="1640"/>
      <c r="J6" s="1119"/>
    </row>
    <row r="7" spans="1:10">
      <c r="A7" s="1119"/>
      <c r="B7" s="1119"/>
      <c r="C7" s="1119"/>
      <c r="D7" s="1119"/>
      <c r="E7" s="1119"/>
      <c r="F7" s="1119"/>
      <c r="G7" s="1119"/>
      <c r="H7" s="1119"/>
      <c r="I7" s="1119"/>
      <c r="J7" s="1119"/>
    </row>
    <row r="8" spans="1:10">
      <c r="A8" s="587" t="s">
        <v>3</v>
      </c>
      <c r="B8" s="1134"/>
      <c r="C8" s="1132"/>
      <c r="D8" s="1151"/>
      <c r="E8" s="1147"/>
      <c r="F8" s="1152"/>
      <c r="G8" s="1150"/>
      <c r="H8" s="1153"/>
      <c r="I8" s="1153"/>
      <c r="J8" s="587" t="s">
        <v>3</v>
      </c>
    </row>
    <row r="9" spans="1:10">
      <c r="A9" s="445" t="s">
        <v>24</v>
      </c>
      <c r="B9" s="1134"/>
      <c r="C9" s="1132"/>
      <c r="D9" s="1151"/>
      <c r="E9" s="1147"/>
      <c r="F9" s="1152"/>
      <c r="G9" s="1150"/>
      <c r="H9" s="1153"/>
      <c r="I9" s="1153"/>
      <c r="J9" s="445" t="s">
        <v>24</v>
      </c>
    </row>
    <row r="10" spans="1:10">
      <c r="B10" s="1134"/>
      <c r="C10" s="1132"/>
      <c r="D10" s="1151"/>
      <c r="E10" s="1147"/>
      <c r="F10" s="1152"/>
      <c r="G10" s="1150"/>
      <c r="H10" s="1153"/>
      <c r="I10" s="1153"/>
    </row>
    <row r="11" spans="1:10">
      <c r="A11" s="163">
        <v>1</v>
      </c>
      <c r="C11" s="1126" t="s">
        <v>694</v>
      </c>
      <c r="D11" s="1126" t="s">
        <v>695</v>
      </c>
      <c r="E11" s="1126" t="s">
        <v>696</v>
      </c>
      <c r="F11" s="1126" t="s">
        <v>697</v>
      </c>
      <c r="G11" s="1126" t="s">
        <v>698</v>
      </c>
      <c r="H11" s="1126" t="s">
        <v>699</v>
      </c>
      <c r="I11" s="1126" t="s">
        <v>700</v>
      </c>
      <c r="J11" s="163">
        <f>A11</f>
        <v>1</v>
      </c>
    </row>
    <row r="12" spans="1:10">
      <c r="A12" s="163">
        <f>A11+1</f>
        <v>2</v>
      </c>
      <c r="C12" s="1126"/>
      <c r="D12" s="587"/>
      <c r="E12" s="587" t="str">
        <f>"See Footnote "&amp;A34</f>
        <v>See Footnote 2</v>
      </c>
      <c r="F12" s="587" t="str">
        <f>"See Footnote "&amp;A36</f>
        <v>See Footnote 3</v>
      </c>
      <c r="G12" s="808" t="str">
        <f>"= - ("&amp;F11&amp;" + "&amp;H11&amp;")"</f>
        <v>= - (Col. 4 + Col. 6)</v>
      </c>
      <c r="H12" s="808" t="str">
        <f>"= "&amp;D11&amp;" x "&amp;E11</f>
        <v>= Col. 2 x Col. 3</v>
      </c>
      <c r="I12" s="808" t="str">
        <f>"= "&amp;E11&amp;" - "&amp;G11</f>
        <v>= Col. 3 - Col. 5</v>
      </c>
      <c r="J12" s="163">
        <f>J11+1</f>
        <v>2</v>
      </c>
    </row>
    <row r="13" spans="1:10">
      <c r="A13" s="163">
        <f t="shared" ref="A13:A30" si="0">A12+1</f>
        <v>3</v>
      </c>
      <c r="C13" s="1126"/>
      <c r="D13" s="587"/>
      <c r="E13" s="587"/>
      <c r="F13" s="1119"/>
      <c r="G13" s="1120"/>
      <c r="I13" s="1126"/>
      <c r="J13" s="163">
        <f t="shared" ref="J13:J30" si="1">J12+1</f>
        <v>3</v>
      </c>
    </row>
    <row r="14" spans="1:10">
      <c r="A14" s="163">
        <f t="shared" si="0"/>
        <v>4</v>
      </c>
      <c r="B14" s="1134"/>
      <c r="C14" s="1132"/>
      <c r="D14" s="1118" t="s">
        <v>707</v>
      </c>
      <c r="E14" s="1161" t="s">
        <v>22</v>
      </c>
      <c r="F14" s="1119"/>
      <c r="G14" s="1120"/>
      <c r="I14" s="1162" t="s">
        <v>22</v>
      </c>
      <c r="J14" s="163">
        <f t="shared" si="1"/>
        <v>4</v>
      </c>
    </row>
    <row r="15" spans="1:10">
      <c r="A15" s="163">
        <f t="shared" si="0"/>
        <v>5</v>
      </c>
      <c r="C15" s="1132"/>
      <c r="D15" s="1118" t="s">
        <v>714</v>
      </c>
      <c r="E15" s="1161" t="s">
        <v>757</v>
      </c>
      <c r="F15" s="1119"/>
      <c r="G15" s="1120"/>
      <c r="I15" s="1162" t="s">
        <v>758</v>
      </c>
      <c r="J15" s="163">
        <f t="shared" si="1"/>
        <v>5</v>
      </c>
    </row>
    <row r="16" spans="1:10" ht="18.75">
      <c r="A16" s="163">
        <f t="shared" si="0"/>
        <v>6</v>
      </c>
      <c r="B16" s="1129" t="s">
        <v>22</v>
      </c>
      <c r="C16" s="1129" t="s">
        <v>716</v>
      </c>
      <c r="D16" s="831" t="s">
        <v>759</v>
      </c>
      <c r="E16" s="1163" t="s">
        <v>25</v>
      </c>
      <c r="F16" s="1130" t="s">
        <v>760</v>
      </c>
      <c r="G16" s="1123" t="s">
        <v>761</v>
      </c>
      <c r="H16" s="1123" t="s">
        <v>714</v>
      </c>
      <c r="I16" s="1126" t="s">
        <v>25</v>
      </c>
      <c r="J16" s="163">
        <f t="shared" si="1"/>
        <v>6</v>
      </c>
    </row>
    <row r="17" spans="1:13">
      <c r="A17" s="163">
        <f t="shared" si="0"/>
        <v>7</v>
      </c>
      <c r="B17" s="1131" t="s">
        <v>723</v>
      </c>
      <c r="C17" s="1164">
        <f>Automation!B3+1</f>
        <v>2020</v>
      </c>
      <c r="D17" s="1165">
        <f>AVERAGE('D. Sec.4 - TU'!J19:J30)</f>
        <v>4.4999999999999997E-3</v>
      </c>
      <c r="E17" s="1166">
        <f>'E. Sec.5 - Interest TU (BP)'!H28</f>
        <v>0</v>
      </c>
      <c r="F17" s="1117">
        <f>-E17/(((1+D17)^12-1)/(D17*(1+D17)^12))</f>
        <v>0</v>
      </c>
      <c r="G17" s="1117">
        <f>-(F17+H17)</f>
        <v>0</v>
      </c>
      <c r="H17" s="1117">
        <f>E17*D17</f>
        <v>0</v>
      </c>
      <c r="I17" s="1167">
        <f t="shared" ref="I17:I28" si="2">E17-G17</f>
        <v>0</v>
      </c>
      <c r="J17" s="163">
        <f t="shared" si="1"/>
        <v>7</v>
      </c>
    </row>
    <row r="18" spans="1:13">
      <c r="A18" s="163">
        <f t="shared" si="0"/>
        <v>8</v>
      </c>
      <c r="B18" s="1131" t="s">
        <v>724</v>
      </c>
      <c r="C18" s="1164">
        <f>$C$17</f>
        <v>2020</v>
      </c>
      <c r="D18" s="1168">
        <f t="shared" ref="D18:D28" si="3">$D$17</f>
        <v>4.4999999999999997E-3</v>
      </c>
      <c r="E18" s="1135">
        <f t="shared" ref="E18:E28" si="4">I17</f>
        <v>0</v>
      </c>
      <c r="F18" s="1125">
        <f>-E17/(((1+D17)^12-1)/(D17*(1+D17)^12))</f>
        <v>0</v>
      </c>
      <c r="G18" s="1125">
        <f t="shared" ref="G18:G28" si="5">-(F18+H18)</f>
        <v>0</v>
      </c>
      <c r="H18" s="1125">
        <f t="shared" ref="H18:H28" si="6">E18*D18</f>
        <v>0</v>
      </c>
      <c r="I18" s="1169">
        <f t="shared" si="2"/>
        <v>0</v>
      </c>
      <c r="J18" s="163">
        <f t="shared" si="1"/>
        <v>8</v>
      </c>
      <c r="L18" s="1170"/>
    </row>
    <row r="19" spans="1:13">
      <c r="A19" s="163">
        <f t="shared" si="0"/>
        <v>9</v>
      </c>
      <c r="B19" s="1131" t="s">
        <v>744</v>
      </c>
      <c r="C19" s="1164">
        <f t="shared" ref="C19:C28" si="7">$C$17</f>
        <v>2020</v>
      </c>
      <c r="D19" s="1168">
        <f t="shared" si="3"/>
        <v>4.4999999999999997E-3</v>
      </c>
      <c r="E19" s="1135">
        <f t="shared" si="4"/>
        <v>0</v>
      </c>
      <c r="F19" s="1125">
        <f>-E17/(((1+D17)^12-1)/(D17*(1+D17)^12))</f>
        <v>0</v>
      </c>
      <c r="G19" s="1125">
        <f t="shared" si="5"/>
        <v>0</v>
      </c>
      <c r="H19" s="1125">
        <f t="shared" si="6"/>
        <v>0</v>
      </c>
      <c r="I19" s="1169">
        <f t="shared" si="2"/>
        <v>0</v>
      </c>
      <c r="J19" s="163">
        <f t="shared" si="1"/>
        <v>9</v>
      </c>
    </row>
    <row r="20" spans="1:13">
      <c r="A20" s="163">
        <f t="shared" si="0"/>
        <v>10</v>
      </c>
      <c r="B20" s="1131" t="s">
        <v>745</v>
      </c>
      <c r="C20" s="1164">
        <f t="shared" si="7"/>
        <v>2020</v>
      </c>
      <c r="D20" s="1168">
        <f t="shared" si="3"/>
        <v>4.4999999999999997E-3</v>
      </c>
      <c r="E20" s="1135">
        <f t="shared" si="4"/>
        <v>0</v>
      </c>
      <c r="F20" s="1125">
        <f>-E17/(((1+D17)^12-1)/(D17*(1+D17)^12))</f>
        <v>0</v>
      </c>
      <c r="G20" s="1125">
        <f t="shared" si="5"/>
        <v>0</v>
      </c>
      <c r="H20" s="1125">
        <f t="shared" si="6"/>
        <v>0</v>
      </c>
      <c r="I20" s="1169">
        <f t="shared" si="2"/>
        <v>0</v>
      </c>
      <c r="J20" s="163">
        <f t="shared" si="1"/>
        <v>10</v>
      </c>
    </row>
    <row r="21" spans="1:13">
      <c r="A21" s="163">
        <f t="shared" si="0"/>
        <v>11</v>
      </c>
      <c r="B21" s="1131" t="s">
        <v>38</v>
      </c>
      <c r="C21" s="1164">
        <f t="shared" si="7"/>
        <v>2020</v>
      </c>
      <c r="D21" s="1168">
        <f t="shared" si="3"/>
        <v>4.4999999999999997E-3</v>
      </c>
      <c r="E21" s="1135">
        <f t="shared" si="4"/>
        <v>0</v>
      </c>
      <c r="F21" s="1125">
        <f>-E17/(((1+D17)^12-1)/(D17*(1+D17)^12))</f>
        <v>0</v>
      </c>
      <c r="G21" s="1125">
        <f t="shared" si="5"/>
        <v>0</v>
      </c>
      <c r="H21" s="1125">
        <f t="shared" si="6"/>
        <v>0</v>
      </c>
      <c r="I21" s="1169">
        <f t="shared" si="2"/>
        <v>0</v>
      </c>
      <c r="J21" s="163">
        <f t="shared" si="1"/>
        <v>11</v>
      </c>
    </row>
    <row r="22" spans="1:13">
      <c r="A22" s="163">
        <f t="shared" si="0"/>
        <v>12</v>
      </c>
      <c r="B22" s="1131" t="s">
        <v>762</v>
      </c>
      <c r="C22" s="1164">
        <f t="shared" si="7"/>
        <v>2020</v>
      </c>
      <c r="D22" s="1168">
        <f t="shared" si="3"/>
        <v>4.4999999999999997E-3</v>
      </c>
      <c r="E22" s="1135">
        <f t="shared" si="4"/>
        <v>0</v>
      </c>
      <c r="F22" s="1125">
        <f>-E17/(((1+D17)^12-1)/(D17*(1+D17)^12))</f>
        <v>0</v>
      </c>
      <c r="G22" s="1125">
        <f t="shared" si="5"/>
        <v>0</v>
      </c>
      <c r="H22" s="1125">
        <f t="shared" si="6"/>
        <v>0</v>
      </c>
      <c r="I22" s="1169">
        <f t="shared" si="2"/>
        <v>0</v>
      </c>
      <c r="J22" s="163">
        <f t="shared" si="1"/>
        <v>12</v>
      </c>
    </row>
    <row r="23" spans="1:13">
      <c r="A23" s="163">
        <f t="shared" si="0"/>
        <v>13</v>
      </c>
      <c r="B23" s="1131" t="s">
        <v>747</v>
      </c>
      <c r="C23" s="1164">
        <f t="shared" si="7"/>
        <v>2020</v>
      </c>
      <c r="D23" s="1168">
        <f t="shared" si="3"/>
        <v>4.4999999999999997E-3</v>
      </c>
      <c r="E23" s="1135">
        <f t="shared" si="4"/>
        <v>0</v>
      </c>
      <c r="F23" s="1125">
        <f>-E17/(((1+D17)^12-1)/(D17*(1+D17)^12))</f>
        <v>0</v>
      </c>
      <c r="G23" s="1125">
        <f t="shared" si="5"/>
        <v>0</v>
      </c>
      <c r="H23" s="1125">
        <f t="shared" si="6"/>
        <v>0</v>
      </c>
      <c r="I23" s="1169">
        <f t="shared" si="2"/>
        <v>0</v>
      </c>
      <c r="J23" s="163">
        <f t="shared" si="1"/>
        <v>13</v>
      </c>
    </row>
    <row r="24" spans="1:13">
      <c r="A24" s="163">
        <f t="shared" si="0"/>
        <v>14</v>
      </c>
      <c r="B24" s="1131" t="s">
        <v>748</v>
      </c>
      <c r="C24" s="1164">
        <f t="shared" si="7"/>
        <v>2020</v>
      </c>
      <c r="D24" s="1168">
        <f t="shared" si="3"/>
        <v>4.4999999999999997E-3</v>
      </c>
      <c r="E24" s="1135">
        <f t="shared" si="4"/>
        <v>0</v>
      </c>
      <c r="F24" s="1125">
        <f>-E17/(((1+D17)^12-1)/(D17*(1+D17)^12))</f>
        <v>0</v>
      </c>
      <c r="G24" s="1125">
        <f t="shared" si="5"/>
        <v>0</v>
      </c>
      <c r="H24" s="1125">
        <f t="shared" si="6"/>
        <v>0</v>
      </c>
      <c r="I24" s="1169">
        <f t="shared" si="2"/>
        <v>0</v>
      </c>
      <c r="J24" s="163">
        <f t="shared" si="1"/>
        <v>14</v>
      </c>
    </row>
    <row r="25" spans="1:13">
      <c r="A25" s="163">
        <f t="shared" si="0"/>
        <v>15</v>
      </c>
      <c r="B25" s="1131" t="s">
        <v>749</v>
      </c>
      <c r="C25" s="1164">
        <f t="shared" si="7"/>
        <v>2020</v>
      </c>
      <c r="D25" s="1168">
        <f t="shared" si="3"/>
        <v>4.4999999999999997E-3</v>
      </c>
      <c r="E25" s="1135">
        <f t="shared" si="4"/>
        <v>0</v>
      </c>
      <c r="F25" s="1125">
        <f>-E17/(((1+D17)^12-1)/(D17*(1+D17)^12))</f>
        <v>0</v>
      </c>
      <c r="G25" s="1125">
        <f t="shared" si="5"/>
        <v>0</v>
      </c>
      <c r="H25" s="1125">
        <f t="shared" si="6"/>
        <v>0</v>
      </c>
      <c r="I25" s="1169">
        <f t="shared" si="2"/>
        <v>0</v>
      </c>
      <c r="J25" s="163">
        <f t="shared" si="1"/>
        <v>15</v>
      </c>
      <c r="K25" s="1171"/>
    </row>
    <row r="26" spans="1:13">
      <c r="A26" s="163">
        <f t="shared" si="0"/>
        <v>16</v>
      </c>
      <c r="B26" s="1131" t="s">
        <v>750</v>
      </c>
      <c r="C26" s="1164">
        <f t="shared" si="7"/>
        <v>2020</v>
      </c>
      <c r="D26" s="1168">
        <f t="shared" si="3"/>
        <v>4.4999999999999997E-3</v>
      </c>
      <c r="E26" s="1135">
        <f t="shared" si="4"/>
        <v>0</v>
      </c>
      <c r="F26" s="1125">
        <f>-E17/(((1+D17)^12-1)/(D17*(1+D17)^12))</f>
        <v>0</v>
      </c>
      <c r="G26" s="1125">
        <f t="shared" si="5"/>
        <v>0</v>
      </c>
      <c r="H26" s="1125">
        <f t="shared" si="6"/>
        <v>0</v>
      </c>
      <c r="I26" s="1169">
        <f t="shared" si="2"/>
        <v>0</v>
      </c>
      <c r="J26" s="163">
        <f t="shared" si="1"/>
        <v>16</v>
      </c>
      <c r="K26" s="1171"/>
      <c r="M26" s="1137"/>
    </row>
    <row r="27" spans="1:13">
      <c r="A27" s="163">
        <f t="shared" si="0"/>
        <v>17</v>
      </c>
      <c r="B27" s="1131" t="s">
        <v>751</v>
      </c>
      <c r="C27" s="1164">
        <f t="shared" si="7"/>
        <v>2020</v>
      </c>
      <c r="D27" s="1168">
        <f t="shared" si="3"/>
        <v>4.4999999999999997E-3</v>
      </c>
      <c r="E27" s="1135">
        <f t="shared" si="4"/>
        <v>0</v>
      </c>
      <c r="F27" s="1125">
        <f>-E17/(((1+D17)^12-1)/(D17*(1+D17)^12))</f>
        <v>0</v>
      </c>
      <c r="G27" s="1125">
        <f t="shared" si="5"/>
        <v>0</v>
      </c>
      <c r="H27" s="1125">
        <f t="shared" si="6"/>
        <v>0</v>
      </c>
      <c r="I27" s="1169">
        <f t="shared" si="2"/>
        <v>0</v>
      </c>
      <c r="J27" s="163">
        <f t="shared" si="1"/>
        <v>17</v>
      </c>
      <c r="K27" s="1171"/>
    </row>
    <row r="28" spans="1:13">
      <c r="A28" s="163">
        <f t="shared" si="0"/>
        <v>18</v>
      </c>
      <c r="B28" s="1172" t="s">
        <v>752</v>
      </c>
      <c r="C28" s="1173">
        <f t="shared" si="7"/>
        <v>2020</v>
      </c>
      <c r="D28" s="1174">
        <f t="shared" si="3"/>
        <v>4.4999999999999997E-3</v>
      </c>
      <c r="E28" s="1140">
        <f t="shared" si="4"/>
        <v>0</v>
      </c>
      <c r="F28" s="1141">
        <f>-E17/(((1+D17)^12-1)/(D17*(1+D17)^12))</f>
        <v>0</v>
      </c>
      <c r="G28" s="1141">
        <f t="shared" si="5"/>
        <v>0</v>
      </c>
      <c r="H28" s="1141">
        <f t="shared" si="6"/>
        <v>0</v>
      </c>
      <c r="I28" s="1175">
        <f t="shared" si="2"/>
        <v>0</v>
      </c>
      <c r="J28" s="163">
        <f t="shared" si="1"/>
        <v>18</v>
      </c>
    </row>
    <row r="29" spans="1:13" ht="18.75">
      <c r="A29" s="163">
        <f t="shared" si="0"/>
        <v>19</v>
      </c>
      <c r="B29" s="412" t="s">
        <v>958</v>
      </c>
      <c r="C29" s="1164"/>
      <c r="D29" s="1168"/>
      <c r="E29" s="1550"/>
      <c r="F29" s="1551"/>
      <c r="G29" s="1551"/>
      <c r="H29" s="1551">
        <f>'E. Sec.5 - Interest TU (BP)'!G29</f>
        <v>0</v>
      </c>
      <c r="I29" s="1552"/>
      <c r="J29" s="163">
        <f t="shared" si="1"/>
        <v>19</v>
      </c>
    </row>
    <row r="30" spans="1:13" ht="16.5" thickBot="1">
      <c r="A30" s="163">
        <f t="shared" si="0"/>
        <v>20</v>
      </c>
      <c r="B30" s="1154" t="s">
        <v>957</v>
      </c>
      <c r="C30" s="1132"/>
      <c r="D30" s="1151"/>
      <c r="E30" s="1176"/>
      <c r="F30" s="1144"/>
      <c r="G30" s="1120"/>
      <c r="H30" s="1143">
        <f>SUM(H17:H29)</f>
        <v>0</v>
      </c>
      <c r="I30" s="1177"/>
      <c r="J30" s="163">
        <f t="shared" si="1"/>
        <v>20</v>
      </c>
    </row>
    <row r="31" spans="1:13" ht="16.5" thickTop="1">
      <c r="A31" s="163"/>
      <c r="F31" s="1146"/>
      <c r="G31" s="1124"/>
    </row>
    <row r="32" spans="1:13">
      <c r="A32" s="163"/>
      <c r="F32" s="1146"/>
      <c r="G32" s="1124"/>
    </row>
    <row r="33" spans="1:7" ht="18.75">
      <c r="A33" s="1145">
        <v>1</v>
      </c>
      <c r="B33" s="229" t="s">
        <v>767</v>
      </c>
      <c r="F33" s="1146"/>
      <c r="G33" s="1124"/>
    </row>
    <row r="34" spans="1:7" ht="18.75">
      <c r="A34" s="1145">
        <v>2</v>
      </c>
      <c r="B34" s="229" t="s">
        <v>763</v>
      </c>
    </row>
    <row r="35" spans="1:7" ht="18.75">
      <c r="A35" s="1145"/>
      <c r="B35" s="229" t="s">
        <v>764</v>
      </c>
    </row>
    <row r="36" spans="1:7" ht="18.75">
      <c r="A36" s="1145">
        <v>3</v>
      </c>
      <c r="B36" s="229" t="s">
        <v>765</v>
      </c>
    </row>
    <row r="37" spans="1:7">
      <c r="B37" s="229" t="s">
        <v>766</v>
      </c>
    </row>
    <row r="38" spans="1:7" ht="18.75">
      <c r="A38" s="1145">
        <v>4</v>
      </c>
      <c r="B38" s="229" t="str">
        <f>"Total Base Period Interest comes from Section 5; Page Interest TU (BP); Col. 5; Line "&amp;'E. Sec.5 - Interest TU (BP)'!A29</f>
        <v>Total Base Period Interest comes from Section 5; Page Interest TU (BP); Col. 5; Line 19</v>
      </c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68" orientation="landscape" r:id="rId1"/>
  <headerFooter scaleWithDoc="0">
    <oddFooter>&amp;C&amp;"Times New Roman,Regular"&amp;10Section 5
Interest TU (CY)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13D5-7380-43D3-A9B8-8937A84C3B3D}">
  <dimension ref="A1"/>
  <sheetViews>
    <sheetView workbookViewId="0">
      <selection activeCell="C7" sqref="C7"/>
    </sheetView>
  </sheetViews>
  <sheetFormatPr defaultRowHeight="1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B01F8CF909BF4BB0B4E8D232C71D43" ma:contentTypeVersion="8" ma:contentTypeDescription="Create a new document." ma:contentTypeScope="" ma:versionID="3668939d278788d1be5fd463f4d6f4b4">
  <xsd:schema xmlns:xsd="http://www.w3.org/2001/XMLSchema" xmlns:xs="http://www.w3.org/2001/XMLSchema" xmlns:p="http://schemas.microsoft.com/office/2006/metadata/properties" xmlns:ns2="c0dbeaa4-cb46-4866-b30d-3e09d5b56e2f" targetNamespace="http://schemas.microsoft.com/office/2006/metadata/properties" ma:root="true" ma:fieldsID="3a85000d7fbd6efbb6b6ff419e32dcea" ns2:_="">
    <xsd:import namespace="c0dbeaa4-cb46-4866-b30d-3e09d5b56e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dbeaa4-cb46-4866-b30d-3e09d5b56e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11BA89-ED55-4C3F-975A-5A56332A7399}">
  <ds:schemaRefs>
    <ds:schemaRef ds:uri="http://purl.org/dc/elements/1.1/"/>
    <ds:schemaRef ds:uri="http://schemas.microsoft.com/office/2006/metadata/properties"/>
    <ds:schemaRef ds:uri="c0dbeaa4-cb46-4866-b30d-3e09d5b56e2f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1091D95-E28D-4E13-9221-6F6CFC5F21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dbeaa4-cb46-4866-b30d-3e09d5b56e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59</vt:i4>
      </vt:variant>
      <vt:variant>
        <vt:lpstr>Named Ranges</vt:lpstr>
      </vt:variant>
      <vt:variant>
        <vt:i4>2</vt:i4>
      </vt:variant>
    </vt:vector>
  </HeadingPairs>
  <TitlesOfParts>
    <vt:vector size="61" baseType="lpstr">
      <vt:lpstr>Summary of Cost Components</vt:lpstr>
      <vt:lpstr>A. Sec.1 - Direct Maintenance</vt:lpstr>
      <vt:lpstr>B. Sec.2 - Non-Direct Expenses</vt:lpstr>
      <vt:lpstr>C. Sec.3 - Other Costs</vt:lpstr>
      <vt:lpstr>D. Sec.4 - TU</vt:lpstr>
      <vt:lpstr>D1. Sec.4 - PY Invoice Summary</vt:lpstr>
      <vt:lpstr>E. Sec.5 - Interest TU (BP)</vt:lpstr>
      <vt:lpstr>E1. Sec.5 - Interest TU (CY)</vt:lpstr>
      <vt:lpstr>F. Sec.6 - Cost Statements</vt:lpstr>
      <vt:lpstr>Stmt AD</vt:lpstr>
      <vt:lpstr>AD-1</vt:lpstr>
      <vt:lpstr>AD-2</vt:lpstr>
      <vt:lpstr>AD-3</vt:lpstr>
      <vt:lpstr>AD-4</vt:lpstr>
      <vt:lpstr>AD-5</vt:lpstr>
      <vt:lpstr>AD-6</vt:lpstr>
      <vt:lpstr>AD-6A</vt:lpstr>
      <vt:lpstr>AD-6B</vt:lpstr>
      <vt:lpstr>AD-6C</vt:lpstr>
      <vt:lpstr>AD-7</vt:lpstr>
      <vt:lpstr>AD-8</vt:lpstr>
      <vt:lpstr>AD-9</vt:lpstr>
      <vt:lpstr>AD-10</vt:lpstr>
      <vt:lpstr>Stmt AE</vt:lpstr>
      <vt:lpstr>AE-1</vt:lpstr>
      <vt:lpstr>AE-1A</vt:lpstr>
      <vt:lpstr>AE-1B</vt:lpstr>
      <vt:lpstr>AE-1C</vt:lpstr>
      <vt:lpstr>AE-2</vt:lpstr>
      <vt:lpstr>AE-3</vt:lpstr>
      <vt:lpstr>AE-4</vt:lpstr>
      <vt:lpstr>Stmt AF</vt:lpstr>
      <vt:lpstr>AF-1</vt:lpstr>
      <vt:lpstr>AF-2</vt:lpstr>
      <vt:lpstr>AF-3</vt:lpstr>
      <vt:lpstr>Stmt AG</vt:lpstr>
      <vt:lpstr>AG-1</vt:lpstr>
      <vt:lpstr>AG-1A</vt:lpstr>
      <vt:lpstr>Stmt AH</vt:lpstr>
      <vt:lpstr>AH-1</vt:lpstr>
      <vt:lpstr>AH-2</vt:lpstr>
      <vt:lpstr>AH-3</vt:lpstr>
      <vt:lpstr>Stmt AI</vt:lpstr>
      <vt:lpstr>AI-1</vt:lpstr>
      <vt:lpstr>Stmt AJ</vt:lpstr>
      <vt:lpstr>AJ-1</vt:lpstr>
      <vt:lpstr>AJ-2</vt:lpstr>
      <vt:lpstr>Stmt AK</vt:lpstr>
      <vt:lpstr>Stmt AL</vt:lpstr>
      <vt:lpstr>AL-1</vt:lpstr>
      <vt:lpstr>AL-2</vt:lpstr>
      <vt:lpstr>Stmt AR</vt:lpstr>
      <vt:lpstr>AR-1</vt:lpstr>
      <vt:lpstr>Stmt AV</vt:lpstr>
      <vt:lpstr>AV-2A</vt:lpstr>
      <vt:lpstr>AV-2B</vt:lpstr>
      <vt:lpstr>AV-4</vt:lpstr>
      <vt:lpstr>Stmt Misc.</vt:lpstr>
      <vt:lpstr>Automation</vt:lpstr>
      <vt:lpstr>'AG-1'!Print_Area</vt:lpstr>
      <vt:lpstr>'AL-1'!Print_Area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sward</dc:creator>
  <cp:lastModifiedBy>Garcia, Daniel</cp:lastModifiedBy>
  <cp:lastPrinted>2020-10-20T21:39:11Z</cp:lastPrinted>
  <dcterms:created xsi:type="dcterms:W3CDTF">2016-08-29T13:22:03Z</dcterms:created>
  <dcterms:modified xsi:type="dcterms:W3CDTF">2020-10-30T16:29:11Z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0x0101004FB01F8CF909BF4BB0B4E8D232C71D43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</Properties>
</file>