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1/Citizens/SX-PQ/Cycle 4 Annual Filing/SX-PQ Cycle 4 Oct Filing/Cost Adj Workpapers/"/>
    </mc:Choice>
  </mc:AlternateContent>
  <xr:revisionPtr revIDLastSave="16" documentId="8_{F7AFECF0-A041-4E2A-AF54-2999A552FAD2}" xr6:coauthVersionLast="47" xr6:coauthVersionMax="47" xr10:uidLastSave="{168FA7FB-5258-4BD3-8113-015D845F8936}"/>
  <bookViews>
    <workbookView xWindow="38280" yWindow="3990" windowWidth="20730" windowHeight="11160" xr2:uid="{A1AA674E-836A-4CFE-B14F-C8BAAC5651C2}"/>
  </bookViews>
  <sheets>
    <sheet name="Pg1 Appendix XII C3 Cost Adj" sheetId="1" r:id="rId1"/>
    <sheet name="Pg2 Appendix XII C3 Comparison" sheetId="16" r:id="rId2"/>
    <sheet name="Pg3 Revised Appendix XII C3" sheetId="15" r:id="rId3"/>
    <sheet name="Pg4 As Filed Appendix XII C3" sheetId="14" r:id="rId4"/>
    <sheet name="Pg5 Rev B.Sec.2-Non-Direct Exp" sheetId="13" r:id="rId5"/>
    <sheet name="Pg6 Revised D.Sec.4-TU" sheetId="12" r:id="rId6"/>
    <sheet name="Pg7 Revised Stmt AH" sheetId="19" r:id="rId7"/>
    <sheet name="Pg7.1 Revised AH-2" sheetId="20" r:id="rId8"/>
    <sheet name="Pg7.2 Revised AH-3" sheetId="18" r:id="rId9"/>
    <sheet name="Pg8 Revised Stmt AL" sheetId="17" r:id="rId10"/>
    <sheet name="Pg9 Revised Stmt AV" sheetId="11" r:id="rId11"/>
    <sheet name="Pg10 Revised AV-4" sheetId="21" r:id="rId12"/>
    <sheet name="Pg11 Appendix XII C3 Int Calc" sheetId="2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8" l="1"/>
  <c r="C30" i="21"/>
  <c r="C29" i="21"/>
  <c r="E24" i="17"/>
  <c r="E22" i="17"/>
  <c r="E46" i="19"/>
  <c r="E43" i="19"/>
  <c r="E42" i="19"/>
  <c r="E41" i="19"/>
  <c r="E40" i="19"/>
  <c r="E39" i="19"/>
  <c r="E38" i="19"/>
  <c r="E37" i="19"/>
  <c r="E36" i="19"/>
  <c r="E35" i="19"/>
  <c r="E34" i="19"/>
  <c r="E33" i="19"/>
  <c r="E31" i="19"/>
  <c r="E27" i="19"/>
  <c r="E26" i="19"/>
  <c r="E25" i="19"/>
  <c r="E24" i="19"/>
  <c r="E23" i="19"/>
  <c r="E22" i="19"/>
  <c r="E21" i="19"/>
  <c r="E20" i="19"/>
  <c r="E19" i="19"/>
  <c r="E18" i="19"/>
  <c r="E17" i="19"/>
  <c r="E15" i="19"/>
  <c r="E51" i="16" l="1"/>
  <c r="C51" i="16"/>
  <c r="C47" i="16"/>
  <c r="C26" i="16"/>
  <c r="C19" i="22" l="1"/>
  <c r="C20" i="22" s="1"/>
  <c r="C21" i="22" s="1"/>
  <c r="C22" i="22" s="1"/>
  <c r="C23" i="22" s="1"/>
  <c r="C24" i="22" s="1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A16" i="22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14" i="22"/>
  <c r="A15" i="22" s="1"/>
  <c r="A12" i="22"/>
  <c r="A13" i="22" s="1"/>
  <c r="I11" i="22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A11" i="22"/>
  <c r="G12" i="1"/>
  <c r="G13" i="1" s="1"/>
  <c r="A12" i="1"/>
  <c r="A13" i="1" s="1"/>
  <c r="F86" i="21" l="1"/>
  <c r="E86" i="21"/>
  <c r="C86" i="21"/>
  <c r="F85" i="21"/>
  <c r="F84" i="21"/>
  <c r="F83" i="21"/>
  <c r="F82" i="21"/>
  <c r="F81" i="21"/>
  <c r="E81" i="21"/>
  <c r="F80" i="21"/>
  <c r="E80" i="21"/>
  <c r="F79" i="21"/>
  <c r="E79" i="21"/>
  <c r="F78" i="21"/>
  <c r="E78" i="21"/>
  <c r="F77" i="21"/>
  <c r="E77" i="21"/>
  <c r="F76" i="21"/>
  <c r="F75" i="21"/>
  <c r="F74" i="21"/>
  <c r="F73" i="21"/>
  <c r="F72" i="21"/>
  <c r="F71" i="21"/>
  <c r="F70" i="21"/>
  <c r="F69" i="21"/>
  <c r="F68" i="21"/>
  <c r="F67" i="21"/>
  <c r="F66" i="21"/>
  <c r="C80" i="21"/>
  <c r="C15" i="21" s="1"/>
  <c r="E87" i="13" s="1"/>
  <c r="F65" i="21"/>
  <c r="C79" i="21"/>
  <c r="C14" i="21" s="1"/>
  <c r="E85" i="13" s="1"/>
  <c r="F64" i="21"/>
  <c r="F63" i="21"/>
  <c r="C77" i="21"/>
  <c r="F62" i="21"/>
  <c r="B54" i="21"/>
  <c r="B53" i="21"/>
  <c r="C46" i="21"/>
  <c r="C41" i="21"/>
  <c r="A12" i="21"/>
  <c r="F11" i="2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B55" i="21"/>
  <c r="G146" i="11"/>
  <c r="B146" i="11"/>
  <c r="B145" i="11"/>
  <c r="G144" i="11"/>
  <c r="G143" i="11"/>
  <c r="B143" i="11"/>
  <c r="B142" i="11"/>
  <c r="J136" i="1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G134" i="11"/>
  <c r="B134" i="11"/>
  <c r="B131" i="11"/>
  <c r="G130" i="11"/>
  <c r="B130" i="11"/>
  <c r="J128" i="11"/>
  <c r="J129" i="11" s="1"/>
  <c r="J130" i="11" s="1"/>
  <c r="J131" i="11" s="1"/>
  <c r="J132" i="11" s="1"/>
  <c r="J133" i="11" s="1"/>
  <c r="J134" i="11" s="1"/>
  <c r="J135" i="11" s="1"/>
  <c r="A127" i="11"/>
  <c r="A128" i="11" s="1"/>
  <c r="A129" i="11" s="1"/>
  <c r="A130" i="11" s="1"/>
  <c r="J126" i="11"/>
  <c r="J127" i="11" s="1"/>
  <c r="A126" i="11"/>
  <c r="J87" i="1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G98" i="11"/>
  <c r="J84" i="11"/>
  <c r="J85" i="11" s="1"/>
  <c r="J86" i="11" s="1"/>
  <c r="J82" i="11"/>
  <c r="J83" i="11" s="1"/>
  <c r="A82" i="11"/>
  <c r="A83" i="11" s="1"/>
  <c r="A84" i="11" s="1"/>
  <c r="A85" i="11" s="1"/>
  <c r="J81" i="11"/>
  <c r="A81" i="11"/>
  <c r="D63" i="11"/>
  <c r="C63" i="11"/>
  <c r="G62" i="11"/>
  <c r="G61" i="11"/>
  <c r="G65" i="11" s="1"/>
  <c r="G60" i="11"/>
  <c r="G63" i="11" s="1"/>
  <c r="G153" i="11" s="1"/>
  <c r="E49" i="11"/>
  <c r="C48" i="11"/>
  <c r="G39" i="11"/>
  <c r="C49" i="11" s="1"/>
  <c r="G32" i="11"/>
  <c r="E48" i="11" s="1"/>
  <c r="G25" i="11"/>
  <c r="G27" i="11" s="1"/>
  <c r="E47" i="11" s="1"/>
  <c r="G17" i="11"/>
  <c r="C47" i="11" s="1"/>
  <c r="A16" i="11"/>
  <c r="A17" i="11" s="1"/>
  <c r="A18" i="11" s="1"/>
  <c r="A19" i="11" s="1"/>
  <c r="A20" i="11" s="1"/>
  <c r="J14" i="1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12" i="11"/>
  <c r="J13" i="11" s="1"/>
  <c r="A12" i="11"/>
  <c r="A13" i="11" s="1"/>
  <c r="A14" i="11" s="1"/>
  <c r="A15" i="11" s="1"/>
  <c r="J11" i="11"/>
  <c r="B119" i="11"/>
  <c r="E27" i="17"/>
  <c r="A12" i="17"/>
  <c r="A13" i="17" s="1"/>
  <c r="J11" i="17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G15" i="17"/>
  <c r="E73" i="13" s="1"/>
  <c r="E54" i="18"/>
  <c r="E52" i="18"/>
  <c r="E49" i="18"/>
  <c r="E43" i="18"/>
  <c r="E41" i="18"/>
  <c r="E38" i="18"/>
  <c r="E56" i="18" s="1"/>
  <c r="F29" i="18"/>
  <c r="J29" i="18" s="1"/>
  <c r="E27" i="18"/>
  <c r="E31" i="18" s="1"/>
  <c r="D27" i="18"/>
  <c r="D31" i="18" s="1"/>
  <c r="F25" i="18"/>
  <c r="J25" i="18" s="1"/>
  <c r="F24" i="18"/>
  <c r="J24" i="18" s="1"/>
  <c r="F23" i="18"/>
  <c r="J23" i="18" s="1"/>
  <c r="F22" i="18"/>
  <c r="J22" i="18" s="1"/>
  <c r="F21" i="18"/>
  <c r="J21" i="18" s="1"/>
  <c r="F20" i="18"/>
  <c r="J20" i="18" s="1"/>
  <c r="F19" i="18"/>
  <c r="J19" i="18" s="1"/>
  <c r="F18" i="18"/>
  <c r="J18" i="18" s="1"/>
  <c r="F17" i="18"/>
  <c r="J17" i="18" s="1"/>
  <c r="F16" i="18"/>
  <c r="J16" i="18" s="1"/>
  <c r="J14" i="18"/>
  <c r="H27" i="18"/>
  <c r="H31" i="18" s="1"/>
  <c r="E44" i="19" s="1"/>
  <c r="F14" i="18"/>
  <c r="J13" i="18"/>
  <c r="F13" i="18"/>
  <c r="J12" i="18"/>
  <c r="F12" i="18"/>
  <c r="A12" i="18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L11" i="18"/>
  <c r="L12" i="18" s="1"/>
  <c r="L13" i="18" s="1"/>
  <c r="L14" i="18" s="1"/>
  <c r="L15" i="18" s="1"/>
  <c r="L16" i="18" s="1"/>
  <c r="L17" i="18" s="1"/>
  <c r="L18" i="18" s="1"/>
  <c r="L19" i="18" s="1"/>
  <c r="L20" i="18" s="1"/>
  <c r="L21" i="18" s="1"/>
  <c r="L22" i="18" s="1"/>
  <c r="L23" i="18" s="1"/>
  <c r="L24" i="18" s="1"/>
  <c r="L25" i="18" s="1"/>
  <c r="L26" i="18" s="1"/>
  <c r="L27" i="18" s="1"/>
  <c r="L28" i="18" s="1"/>
  <c r="L29" i="18" s="1"/>
  <c r="L30" i="18" s="1"/>
  <c r="L31" i="18" s="1"/>
  <c r="L32" i="18" s="1"/>
  <c r="L33" i="18" s="1"/>
  <c r="L34" i="18" s="1"/>
  <c r="L35" i="18" s="1"/>
  <c r="L36" i="18" s="1"/>
  <c r="L37" i="18" s="1"/>
  <c r="L38" i="18" s="1"/>
  <c r="L39" i="18" s="1"/>
  <c r="L40" i="18" s="1"/>
  <c r="L41" i="18" s="1"/>
  <c r="L42" i="18" s="1"/>
  <c r="L43" i="18" s="1"/>
  <c r="L44" i="18" s="1"/>
  <c r="L45" i="18" s="1"/>
  <c r="L46" i="18" s="1"/>
  <c r="L47" i="18" s="1"/>
  <c r="L48" i="18" s="1"/>
  <c r="L49" i="18" s="1"/>
  <c r="L50" i="18" s="1"/>
  <c r="L51" i="18" s="1"/>
  <c r="L52" i="18" s="1"/>
  <c r="L53" i="18" s="1"/>
  <c r="L54" i="18" s="1"/>
  <c r="L55" i="18" s="1"/>
  <c r="L56" i="18" s="1"/>
  <c r="L57" i="18" s="1"/>
  <c r="L58" i="18" s="1"/>
  <c r="L59" i="18" s="1"/>
  <c r="L60" i="18" s="1"/>
  <c r="L61" i="18" s="1"/>
  <c r="L62" i="18" s="1"/>
  <c r="L63" i="18" s="1"/>
  <c r="L64" i="18" s="1"/>
  <c r="L65" i="18" s="1"/>
  <c r="L66" i="18" s="1"/>
  <c r="J11" i="18"/>
  <c r="F11" i="18"/>
  <c r="F27" i="18" s="1"/>
  <c r="F31" i="18" s="1"/>
  <c r="E62" i="20"/>
  <c r="E67" i="20" s="1"/>
  <c r="F45" i="20"/>
  <c r="I45" i="20" s="1"/>
  <c r="H41" i="20"/>
  <c r="D41" i="20"/>
  <c r="F39" i="20"/>
  <c r="I39" i="20" s="1"/>
  <c r="F38" i="20"/>
  <c r="I38" i="20" s="1"/>
  <c r="E38" i="20"/>
  <c r="E37" i="20"/>
  <c r="F37" i="20" s="1"/>
  <c r="I37" i="20" s="1"/>
  <c r="F36" i="20"/>
  <c r="F41" i="20" s="1"/>
  <c r="E36" i="20"/>
  <c r="E41" i="20" s="1"/>
  <c r="I35" i="20"/>
  <c r="F35" i="20"/>
  <c r="I34" i="20"/>
  <c r="F34" i="20"/>
  <c r="I33" i="20"/>
  <c r="F33" i="20"/>
  <c r="I32" i="20"/>
  <c r="F32" i="20"/>
  <c r="I31" i="20"/>
  <c r="F31" i="20"/>
  <c r="I30" i="20"/>
  <c r="F30" i="20"/>
  <c r="H27" i="20"/>
  <c r="H43" i="20" s="1"/>
  <c r="H47" i="20" s="1"/>
  <c r="D27" i="20"/>
  <c r="D43" i="20" s="1"/>
  <c r="D47" i="20" s="1"/>
  <c r="I25" i="20"/>
  <c r="F25" i="20"/>
  <c r="E24" i="20"/>
  <c r="F24" i="20" s="1"/>
  <c r="I24" i="20" s="1"/>
  <c r="F23" i="20"/>
  <c r="I23" i="20" s="1"/>
  <c r="E23" i="20"/>
  <c r="I22" i="20"/>
  <c r="F22" i="20"/>
  <c r="E21" i="20"/>
  <c r="F21" i="20" s="1"/>
  <c r="I21" i="20" s="1"/>
  <c r="F20" i="20"/>
  <c r="I20" i="20" s="1"/>
  <c r="E20" i="20"/>
  <c r="E19" i="20"/>
  <c r="F19" i="20" s="1"/>
  <c r="I19" i="20" s="1"/>
  <c r="F18" i="20"/>
  <c r="I18" i="20" s="1"/>
  <c r="F17" i="20"/>
  <c r="I17" i="20" s="1"/>
  <c r="F16" i="20"/>
  <c r="I16" i="20" s="1"/>
  <c r="F15" i="20"/>
  <c r="I15" i="20" s="1"/>
  <c r="E15" i="20"/>
  <c r="I14" i="20"/>
  <c r="F14" i="20"/>
  <c r="I13" i="20"/>
  <c r="F13" i="20"/>
  <c r="I12" i="20"/>
  <c r="F12" i="20"/>
  <c r="A12" i="20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K11" i="20"/>
  <c r="K12" i="20" s="1"/>
  <c r="K13" i="20" s="1"/>
  <c r="K14" i="20" s="1"/>
  <c r="K15" i="20" s="1"/>
  <c r="K16" i="20" s="1"/>
  <c r="K17" i="20" s="1"/>
  <c r="K18" i="20" s="1"/>
  <c r="K19" i="20" s="1"/>
  <c r="K20" i="20" s="1"/>
  <c r="K21" i="20" s="1"/>
  <c r="K22" i="20" s="1"/>
  <c r="K23" i="20" s="1"/>
  <c r="K24" i="20" s="1"/>
  <c r="K25" i="20" s="1"/>
  <c r="K26" i="20" s="1"/>
  <c r="K27" i="20" s="1"/>
  <c r="K28" i="20" s="1"/>
  <c r="K29" i="20" s="1"/>
  <c r="K30" i="20" s="1"/>
  <c r="K31" i="20" s="1"/>
  <c r="K32" i="20" s="1"/>
  <c r="K33" i="20" s="1"/>
  <c r="K34" i="20" s="1"/>
  <c r="K35" i="20" s="1"/>
  <c r="K36" i="20" s="1"/>
  <c r="K37" i="20" s="1"/>
  <c r="K38" i="20" s="1"/>
  <c r="K39" i="20" s="1"/>
  <c r="K40" i="20" s="1"/>
  <c r="K41" i="20" s="1"/>
  <c r="K42" i="20" s="1"/>
  <c r="K43" i="20" s="1"/>
  <c r="K44" i="20" s="1"/>
  <c r="K45" i="20" s="1"/>
  <c r="K46" i="20" s="1"/>
  <c r="K47" i="20" s="1"/>
  <c r="K48" i="20" s="1"/>
  <c r="K49" i="20" s="1"/>
  <c r="K50" i="20" s="1"/>
  <c r="K51" i="20" s="1"/>
  <c r="K52" i="20" s="1"/>
  <c r="K53" i="20" s="1"/>
  <c r="K54" i="20" s="1"/>
  <c r="K55" i="20" s="1"/>
  <c r="K56" i="20" s="1"/>
  <c r="K57" i="20" s="1"/>
  <c r="K58" i="20" s="1"/>
  <c r="K59" i="20" s="1"/>
  <c r="K60" i="20" s="1"/>
  <c r="K61" i="20" s="1"/>
  <c r="K62" i="20" s="1"/>
  <c r="K63" i="20" s="1"/>
  <c r="K64" i="20" s="1"/>
  <c r="K65" i="20" s="1"/>
  <c r="K66" i="20" s="1"/>
  <c r="K67" i="20" s="1"/>
  <c r="K68" i="20" s="1"/>
  <c r="K69" i="20" s="1"/>
  <c r="K70" i="20" s="1"/>
  <c r="K71" i="20" s="1"/>
  <c r="K72" i="20" s="1"/>
  <c r="K73" i="20" s="1"/>
  <c r="K74" i="20" s="1"/>
  <c r="K75" i="20" s="1"/>
  <c r="K76" i="20" s="1"/>
  <c r="K77" i="20" s="1"/>
  <c r="E11" i="20"/>
  <c r="F11" i="20" s="1"/>
  <c r="E60" i="19"/>
  <c r="A12" i="19"/>
  <c r="A13" i="19" s="1"/>
  <c r="A14" i="19" s="1"/>
  <c r="A15" i="19" s="1"/>
  <c r="H11" i="19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H69" i="19" s="1"/>
  <c r="H70" i="19" s="1"/>
  <c r="A50" i="13"/>
  <c r="A51" i="13" s="1"/>
  <c r="A52" i="13" s="1"/>
  <c r="H49" i="13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B44" i="13"/>
  <c r="B42" i="13"/>
  <c r="A12" i="13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B43" i="13"/>
  <c r="B41" i="13"/>
  <c r="B40" i="13"/>
  <c r="B52" i="15"/>
  <c r="C46" i="15"/>
  <c r="B46" i="15"/>
  <c r="B44" i="15"/>
  <c r="B42" i="15"/>
  <c r="B38" i="15"/>
  <c r="B36" i="15"/>
  <c r="E34" i="15"/>
  <c r="B34" i="15"/>
  <c r="E32" i="15"/>
  <c r="C32" i="15"/>
  <c r="C44" i="15"/>
  <c r="C45" i="16" s="1"/>
  <c r="C38" i="15"/>
  <c r="C39" i="16" s="1"/>
  <c r="F12" i="15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A12" i="15"/>
  <c r="A13" i="15" s="1"/>
  <c r="F11" i="15"/>
  <c r="C12" i="16"/>
  <c r="F30" i="12"/>
  <c r="E30" i="12"/>
  <c r="H23" i="12"/>
  <c r="I23" i="12" s="1"/>
  <c r="H22" i="12"/>
  <c r="I22" i="12" s="1"/>
  <c r="H21" i="12"/>
  <c r="I21" i="12" s="1"/>
  <c r="H20" i="12"/>
  <c r="I20" i="12" s="1"/>
  <c r="H19" i="12"/>
  <c r="I19" i="12" s="1"/>
  <c r="M12" i="12"/>
  <c r="L12" i="12"/>
  <c r="K12" i="12"/>
  <c r="I12" i="12"/>
  <c r="H12" i="12"/>
  <c r="N11" i="12"/>
  <c r="N12" i="12" s="1"/>
  <c r="N13" i="12" s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F12" i="12" s="1"/>
  <c r="C19" i="12"/>
  <c r="G51" i="16"/>
  <c r="E47" i="16"/>
  <c r="E43" i="16"/>
  <c r="E39" i="16"/>
  <c r="G33" i="16"/>
  <c r="G32" i="16"/>
  <c r="E33" i="16"/>
  <c r="E32" i="16"/>
  <c r="C32" i="16"/>
  <c r="E26" i="16"/>
  <c r="E22" i="16"/>
  <c r="E20" i="16"/>
  <c r="E16" i="16"/>
  <c r="E14" i="16"/>
  <c r="E12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B52" i="14"/>
  <c r="C46" i="14"/>
  <c r="B46" i="14"/>
  <c r="B44" i="14"/>
  <c r="B42" i="14"/>
  <c r="B38" i="14"/>
  <c r="C36" i="14"/>
  <c r="E37" i="16" s="1"/>
  <c r="B36" i="14"/>
  <c r="D34" i="14"/>
  <c r="B34" i="14"/>
  <c r="D32" i="14"/>
  <c r="C32" i="14"/>
  <c r="C44" i="14"/>
  <c r="E45" i="16" s="1"/>
  <c r="C42" i="14"/>
  <c r="C38" i="14"/>
  <c r="A13" i="14"/>
  <c r="E12" i="14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33" i="14" s="1"/>
  <c r="E34" i="14" s="1"/>
  <c r="E35" i="14" s="1"/>
  <c r="E36" i="14" s="1"/>
  <c r="E37" i="14" s="1"/>
  <c r="E38" i="14" s="1"/>
  <c r="E39" i="14" s="1"/>
  <c r="E40" i="14" s="1"/>
  <c r="E41" i="14" s="1"/>
  <c r="E42" i="14" s="1"/>
  <c r="E43" i="14" s="1"/>
  <c r="E44" i="14" s="1"/>
  <c r="E45" i="14" s="1"/>
  <c r="E46" i="14" s="1"/>
  <c r="E47" i="14" s="1"/>
  <c r="E48" i="14" s="1"/>
  <c r="E49" i="14" s="1"/>
  <c r="E50" i="14" s="1"/>
  <c r="E51" i="14" s="1"/>
  <c r="E52" i="14" s="1"/>
  <c r="E53" i="14" s="1"/>
  <c r="A12" i="14"/>
  <c r="E11" i="14"/>
  <c r="C17" i="14"/>
  <c r="C23" i="14" s="1"/>
  <c r="C27" i="14" s="1"/>
  <c r="G47" i="16" l="1"/>
  <c r="E28" i="19"/>
  <c r="E52" i="13" s="1"/>
  <c r="C16" i="16"/>
  <c r="G39" i="16" s="1"/>
  <c r="E68" i="19"/>
  <c r="C22" i="16"/>
  <c r="G45" i="16" s="1"/>
  <c r="C21" i="21"/>
  <c r="C26" i="21"/>
  <c r="E45" i="19"/>
  <c r="E47" i="19" s="1"/>
  <c r="E49" i="19" s="1"/>
  <c r="E58" i="19"/>
  <c r="G19" i="17"/>
  <c r="E74" i="13" s="1"/>
  <c r="B74" i="11"/>
  <c r="E89" i="13"/>
  <c r="C78" i="21"/>
  <c r="C13" i="21" s="1"/>
  <c r="C74" i="21"/>
  <c r="C12" i="21"/>
  <c r="C67" i="21"/>
  <c r="A13" i="21"/>
  <c r="A14" i="21" s="1"/>
  <c r="A15" i="21" s="1"/>
  <c r="A16" i="21" s="1"/>
  <c r="A21" i="11"/>
  <c r="A22" i="11" s="1"/>
  <c r="A23" i="11" s="1"/>
  <c r="A24" i="11" s="1"/>
  <c r="A25" i="11" s="1"/>
  <c r="A86" i="11"/>
  <c r="A87" i="11" s="1"/>
  <c r="I97" i="11"/>
  <c r="G136" i="11"/>
  <c r="G145" i="11" s="1"/>
  <c r="G142" i="11"/>
  <c r="G148" i="11" s="1"/>
  <c r="G151" i="11" s="1"/>
  <c r="G155" i="11" s="1"/>
  <c r="I142" i="11"/>
  <c r="A131" i="11"/>
  <c r="A132" i="11" s="1"/>
  <c r="I17" i="11"/>
  <c r="C50" i="11"/>
  <c r="D49" i="11" s="1"/>
  <c r="G49" i="11" s="1"/>
  <c r="A14" i="17"/>
  <c r="A15" i="17" s="1"/>
  <c r="A16" i="17" s="1"/>
  <c r="A17" i="17" s="1"/>
  <c r="A18" i="17" s="1"/>
  <c r="A19" i="17" s="1"/>
  <c r="A20" i="17" s="1"/>
  <c r="A21" i="17" s="1"/>
  <c r="A22" i="17" s="1"/>
  <c r="J27" i="18"/>
  <c r="J31" i="18" s="1"/>
  <c r="K27" i="18"/>
  <c r="A26" i="18"/>
  <c r="A27" i="18" s="1"/>
  <c r="A26" i="20"/>
  <c r="A27" i="20" s="1"/>
  <c r="J27" i="20"/>
  <c r="F27" i="20"/>
  <c r="F43" i="20" s="1"/>
  <c r="F47" i="20" s="1"/>
  <c r="I11" i="20"/>
  <c r="I27" i="20" s="1"/>
  <c r="E27" i="20"/>
  <c r="E43" i="20" s="1"/>
  <c r="E47" i="20" s="1"/>
  <c r="I36" i="20"/>
  <c r="I41" i="20" s="1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25" i="13"/>
  <c r="A26" i="13" s="1"/>
  <c r="A27" i="13" s="1"/>
  <c r="A28" i="13" s="1"/>
  <c r="G26" i="13"/>
  <c r="A53" i="13"/>
  <c r="A54" i="13" s="1"/>
  <c r="G24" i="13"/>
  <c r="E36" i="15"/>
  <c r="A14" i="15"/>
  <c r="A15" i="15" s="1"/>
  <c r="C34" i="15"/>
  <c r="C29" i="12"/>
  <c r="C28" i="12"/>
  <c r="C27" i="12"/>
  <c r="C25" i="12"/>
  <c r="C24" i="12"/>
  <c r="C23" i="12"/>
  <c r="C22" i="12"/>
  <c r="C21" i="12"/>
  <c r="C20" i="12"/>
  <c r="C30" i="12"/>
  <c r="C26" i="12"/>
  <c r="K19" i="12"/>
  <c r="L19" i="12"/>
  <c r="H24" i="12"/>
  <c r="G25" i="12"/>
  <c r="G27" i="12"/>
  <c r="G28" i="12"/>
  <c r="G29" i="12"/>
  <c r="E25" i="12"/>
  <c r="E26" i="12"/>
  <c r="E27" i="12"/>
  <c r="E28" i="12"/>
  <c r="E29" i="12"/>
  <c r="G26" i="12"/>
  <c r="G30" i="12"/>
  <c r="H30" i="12" s="1"/>
  <c r="F25" i="12"/>
  <c r="F26" i="12"/>
  <c r="F27" i="12"/>
  <c r="F28" i="12"/>
  <c r="F29" i="12"/>
  <c r="E18" i="16"/>
  <c r="E24" i="16" s="1"/>
  <c r="E28" i="16" s="1"/>
  <c r="G12" i="16"/>
  <c r="A15" i="16"/>
  <c r="A16" i="16" s="1"/>
  <c r="C34" i="14"/>
  <c r="A14" i="14"/>
  <c r="A15" i="14" s="1"/>
  <c r="D36" i="14"/>
  <c r="C40" i="14" l="1"/>
  <c r="C48" i="14" s="1"/>
  <c r="C52" i="14" s="1"/>
  <c r="E35" i="16"/>
  <c r="E41" i="16" s="1"/>
  <c r="E49" i="16" s="1"/>
  <c r="E53" i="16" s="1"/>
  <c r="C35" i="16"/>
  <c r="G16" i="16"/>
  <c r="G22" i="16"/>
  <c r="E70" i="19"/>
  <c r="E50" i="19" s="1"/>
  <c r="E51" i="19" s="1"/>
  <c r="C81" i="21"/>
  <c r="C16" i="21"/>
  <c r="G28" i="13"/>
  <c r="A17" i="21"/>
  <c r="A18" i="21" s="1"/>
  <c r="A19" i="21" s="1"/>
  <c r="D48" i="11"/>
  <c r="G48" i="11" s="1"/>
  <c r="G52" i="11" s="1"/>
  <c r="G85" i="11" s="1"/>
  <c r="A26" i="11"/>
  <c r="A27" i="11" s="1"/>
  <c r="I27" i="11"/>
  <c r="I143" i="11"/>
  <c r="A133" i="11"/>
  <c r="I25" i="11"/>
  <c r="D47" i="11"/>
  <c r="A88" i="11"/>
  <c r="I98" i="11"/>
  <c r="A23" i="17"/>
  <c r="A24" i="17" s="1"/>
  <c r="A25" i="17" s="1"/>
  <c r="A28" i="18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K31" i="18"/>
  <c r="I43" i="20"/>
  <c r="I47" i="20" s="1"/>
  <c r="A28" i="20"/>
  <c r="A29" i="20" s="1"/>
  <c r="A30" i="20" s="1"/>
  <c r="A32" i="19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G12" i="13"/>
  <c r="A55" i="13"/>
  <c r="A56" i="13" s="1"/>
  <c r="A57" i="13" s="1"/>
  <c r="G33" i="13"/>
  <c r="A29" i="13"/>
  <c r="A30" i="13" s="1"/>
  <c r="A31" i="13" s="1"/>
  <c r="A16" i="15"/>
  <c r="A17" i="15" s="1"/>
  <c r="E38" i="15"/>
  <c r="F31" i="12"/>
  <c r="G31" i="12"/>
  <c r="H27" i="12"/>
  <c r="H26" i="12"/>
  <c r="H29" i="12"/>
  <c r="H25" i="12"/>
  <c r="M19" i="12"/>
  <c r="H28" i="12"/>
  <c r="E31" i="12"/>
  <c r="A17" i="16"/>
  <c r="A18" i="16" s="1"/>
  <c r="H18" i="16"/>
  <c r="A16" i="14"/>
  <c r="A17" i="14" s="1"/>
  <c r="D38" i="14"/>
  <c r="E57" i="13" l="1"/>
  <c r="E23" i="17"/>
  <c r="E25" i="17" s="1"/>
  <c r="E29" i="17" s="1"/>
  <c r="E49" i="13"/>
  <c r="G35" i="16"/>
  <c r="H31" i="12"/>
  <c r="A20" i="21"/>
  <c r="A21" i="21" s="1"/>
  <c r="A89" i="11"/>
  <c r="I99" i="11"/>
  <c r="G47" i="11"/>
  <c r="G50" i="11" s="1"/>
  <c r="G108" i="11" s="1"/>
  <c r="D50" i="11"/>
  <c r="I47" i="11"/>
  <c r="A28" i="11"/>
  <c r="A29" i="11" s="1"/>
  <c r="A30" i="11" s="1"/>
  <c r="I144" i="11"/>
  <c r="A134" i="11"/>
  <c r="A135" i="11" s="1"/>
  <c r="A136" i="11" s="1"/>
  <c r="G97" i="11"/>
  <c r="A26" i="17"/>
  <c r="A27" i="17" s="1"/>
  <c r="A28" i="17" s="1"/>
  <c r="A29" i="17" s="1"/>
  <c r="A31" i="20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6" i="19"/>
  <c r="A58" i="13"/>
  <c r="A59" i="13" s="1"/>
  <c r="A32" i="13"/>
  <c r="A33" i="13" s="1"/>
  <c r="A34" i="13" s="1"/>
  <c r="A35" i="13" s="1"/>
  <c r="A18" i="15"/>
  <c r="A19" i="15" s="1"/>
  <c r="K20" i="12"/>
  <c r="L20" i="12"/>
  <c r="A19" i="16"/>
  <c r="A20" i="16" s="1"/>
  <c r="A18" i="14"/>
  <c r="A19" i="14" s="1"/>
  <c r="E75" i="13" l="1"/>
  <c r="E76" i="13" s="1"/>
  <c r="C31" i="21"/>
  <c r="C32" i="21" s="1"/>
  <c r="C36" i="21" s="1"/>
  <c r="G88" i="11" s="1"/>
  <c r="E69" i="13"/>
  <c r="E18" i="13" s="1"/>
  <c r="E64" i="13"/>
  <c r="E16" i="13" s="1"/>
  <c r="E54" i="13"/>
  <c r="E12" i="13" s="1"/>
  <c r="E59" i="13"/>
  <c r="E14" i="13" s="1"/>
  <c r="G35" i="13"/>
  <c r="A22" i="21"/>
  <c r="A23" i="21" s="1"/>
  <c r="A24" i="21" s="1"/>
  <c r="A137" i="1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I145" i="11"/>
  <c r="A31" i="11"/>
  <c r="I36" i="11"/>
  <c r="I134" i="11"/>
  <c r="A90" i="11"/>
  <c r="A91" i="11" s="1"/>
  <c r="J41" i="20"/>
  <c r="A42" i="20"/>
  <c r="A43" i="20" s="1"/>
  <c r="J43" i="20"/>
  <c r="A47" i="19"/>
  <c r="G14" i="13"/>
  <c r="A60" i="13"/>
  <c r="A61" i="13" s="1"/>
  <c r="A62" i="13" s="1"/>
  <c r="A20" i="15"/>
  <c r="A21" i="15" s="1"/>
  <c r="E42" i="15"/>
  <c r="M20" i="12"/>
  <c r="A21" i="16"/>
  <c r="A22" i="16" s="1"/>
  <c r="H24" i="16" s="1"/>
  <c r="A20" i="14"/>
  <c r="A21" i="14" s="1"/>
  <c r="D42" i="14"/>
  <c r="G99" i="11" l="1"/>
  <c r="G91" i="11"/>
  <c r="G100" i="11" s="1"/>
  <c r="A25" i="21"/>
  <c r="A26" i="21" s="1"/>
  <c r="I100" i="11"/>
  <c r="A92" i="11"/>
  <c r="A93" i="11" s="1"/>
  <c r="A94" i="11" s="1"/>
  <c r="A95" i="11" s="1"/>
  <c r="A96" i="11" s="1"/>
  <c r="A97" i="11" s="1"/>
  <c r="A98" i="11" s="1"/>
  <c r="A99" i="11" s="1"/>
  <c r="A100" i="11" s="1"/>
  <c r="A101" i="11" s="1"/>
  <c r="I155" i="11"/>
  <c r="A152" i="11"/>
  <c r="A153" i="11" s="1"/>
  <c r="A154" i="11" s="1"/>
  <c r="A155" i="11" s="1"/>
  <c r="A32" i="11"/>
  <c r="I32" i="11"/>
  <c r="I151" i="11"/>
  <c r="A44" i="20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48" i="19"/>
  <c r="A49" i="19" s="1"/>
  <c r="A63" i="13"/>
  <c r="A64" i="13" s="1"/>
  <c r="A22" i="15"/>
  <c r="A23" i="15" s="1"/>
  <c r="E44" i="15"/>
  <c r="K21" i="12"/>
  <c r="L21" i="12"/>
  <c r="A23" i="16"/>
  <c r="A24" i="16" s="1"/>
  <c r="A22" i="14"/>
  <c r="A23" i="14" s="1"/>
  <c r="D44" i="14"/>
  <c r="G103" i="11" l="1"/>
  <c r="G106" i="11" s="1"/>
  <c r="G110" i="11" s="1"/>
  <c r="E78" i="13" s="1"/>
  <c r="A27" i="21"/>
  <c r="A28" i="21" s="1"/>
  <c r="A29" i="21" s="1"/>
  <c r="A33" i="11"/>
  <c r="A34" i="11" s="1"/>
  <c r="A35" i="11" s="1"/>
  <c r="I48" i="11"/>
  <c r="I146" i="11"/>
  <c r="A102" i="11"/>
  <c r="A103" i="11" s="1"/>
  <c r="J47" i="20"/>
  <c r="A50" i="19"/>
  <c r="A51" i="19" s="1"/>
  <c r="A52" i="19" s="1"/>
  <c r="A53" i="19" s="1"/>
  <c r="A54" i="19" s="1"/>
  <c r="G16" i="13"/>
  <c r="A65" i="13"/>
  <c r="A66" i="13" s="1"/>
  <c r="A67" i="13" s="1"/>
  <c r="A24" i="15"/>
  <c r="A25" i="15" s="1"/>
  <c r="M21" i="12"/>
  <c r="A25" i="16"/>
  <c r="A26" i="16" s="1"/>
  <c r="A24" i="14"/>
  <c r="A25" i="14" s="1"/>
  <c r="E91" i="13" l="1"/>
  <c r="E93" i="13" s="1"/>
  <c r="E97" i="13" s="1"/>
  <c r="E99" i="13" s="1"/>
  <c r="E22" i="13" s="1"/>
  <c r="E80" i="13"/>
  <c r="E82" i="13" s="1"/>
  <c r="E20" i="13" s="1"/>
  <c r="E24" i="13" s="1"/>
  <c r="E26" i="13" s="1"/>
  <c r="E28" i="13" s="1"/>
  <c r="E33" i="13" s="1"/>
  <c r="E35" i="13" s="1"/>
  <c r="C13" i="15" s="1"/>
  <c r="A30" i="21"/>
  <c r="A31" i="21" s="1"/>
  <c r="A32" i="21" s="1"/>
  <c r="A104" i="11"/>
  <c r="A105" i="11" s="1"/>
  <c r="A106" i="11" s="1"/>
  <c r="I106" i="11"/>
  <c r="A36" i="11"/>
  <c r="A37" i="11" s="1"/>
  <c r="A38" i="11" s="1"/>
  <c r="A39" i="11" s="1"/>
  <c r="A40" i="11" s="1"/>
  <c r="A41" i="11" s="1"/>
  <c r="A42" i="11" s="1"/>
  <c r="I39" i="11"/>
  <c r="A55" i="19"/>
  <c r="A56" i="19" s="1"/>
  <c r="A57" i="19" s="1"/>
  <c r="A58" i="19" s="1"/>
  <c r="A68" i="13"/>
  <c r="A69" i="13" s="1"/>
  <c r="E46" i="15"/>
  <c r="A26" i="15"/>
  <c r="A27" i="15" s="1"/>
  <c r="A28" i="15" s="1"/>
  <c r="A33" i="15" s="1"/>
  <c r="A34" i="15" s="1"/>
  <c r="K22" i="12"/>
  <c r="L22" i="12"/>
  <c r="A27" i="16"/>
  <c r="A28" i="16" s="1"/>
  <c r="A29" i="16" s="1"/>
  <c r="A34" i="16" s="1"/>
  <c r="A35" i="16" s="1"/>
  <c r="H28" i="16"/>
  <c r="D46" i="14"/>
  <c r="A26" i="14"/>
  <c r="A27" i="14" s="1"/>
  <c r="A28" i="14" s="1"/>
  <c r="A33" i="14" s="1"/>
  <c r="A34" i="14" s="1"/>
  <c r="C36" i="15" l="1"/>
  <c r="C14" i="16"/>
  <c r="C17" i="15"/>
  <c r="A33" i="21"/>
  <c r="A34" i="21" s="1"/>
  <c r="A35" i="21" s="1"/>
  <c r="A36" i="21" s="1"/>
  <c r="A37" i="21" s="1"/>
  <c r="A38" i="21" s="1"/>
  <c r="A39" i="21" s="1"/>
  <c r="I49" i="11"/>
  <c r="A43" i="11"/>
  <c r="A44" i="11" s="1"/>
  <c r="A45" i="11" s="1"/>
  <c r="A46" i="11" s="1"/>
  <c r="A47" i="11" s="1"/>
  <c r="A107" i="11"/>
  <c r="A108" i="11" s="1"/>
  <c r="A109" i="11" s="1"/>
  <c r="A110" i="11" s="1"/>
  <c r="I110" i="11"/>
  <c r="A59" i="19"/>
  <c r="A60" i="19" s="1"/>
  <c r="G18" i="13"/>
  <c r="A70" i="13"/>
  <c r="A71" i="13" s="1"/>
  <c r="A72" i="13" s="1"/>
  <c r="A73" i="13" s="1"/>
  <c r="A35" i="15"/>
  <c r="A36" i="15" s="1"/>
  <c r="A37" i="15" s="1"/>
  <c r="A38" i="15" s="1"/>
  <c r="A39" i="15" s="1"/>
  <c r="A40" i="15" s="1"/>
  <c r="M22" i="12"/>
  <c r="A36" i="16"/>
  <c r="A37" i="16" s="1"/>
  <c r="A38" i="16" s="1"/>
  <c r="A39" i="16" s="1"/>
  <c r="A40" i="16" s="1"/>
  <c r="A41" i="16" s="1"/>
  <c r="A35" i="14"/>
  <c r="A36" i="14" s="1"/>
  <c r="A37" i="14" s="1"/>
  <c r="A38" i="14" s="1"/>
  <c r="A39" i="14" s="1"/>
  <c r="A40" i="14" s="1"/>
  <c r="G14" i="16" l="1"/>
  <c r="G18" i="16" s="1"/>
  <c r="C18" i="16"/>
  <c r="C37" i="16"/>
  <c r="C40" i="15"/>
  <c r="D24" i="12" s="1"/>
  <c r="A40" i="21"/>
  <c r="A41" i="21" s="1"/>
  <c r="A42" i="21" s="1"/>
  <c r="A43" i="21" s="1"/>
  <c r="A44" i="21" s="1"/>
  <c r="A48" i="11"/>
  <c r="A61" i="19"/>
  <c r="A62" i="19" s="1"/>
  <c r="A63" i="19" s="1"/>
  <c r="A64" i="19" s="1"/>
  <c r="A65" i="19" s="1"/>
  <c r="A66" i="19" s="1"/>
  <c r="A67" i="19" s="1"/>
  <c r="A68" i="19" s="1"/>
  <c r="A74" i="13"/>
  <c r="A75" i="13" s="1"/>
  <c r="A76" i="13" s="1"/>
  <c r="E40" i="15"/>
  <c r="E48" i="15"/>
  <c r="A41" i="15"/>
  <c r="A42" i="15" s="1"/>
  <c r="A43" i="15" s="1"/>
  <c r="A44" i="15" s="1"/>
  <c r="A45" i="15" s="1"/>
  <c r="A46" i="15" s="1"/>
  <c r="A47" i="15" s="1"/>
  <c r="A48" i="15" s="1"/>
  <c r="K23" i="12"/>
  <c r="L23" i="12"/>
  <c r="A42" i="16"/>
  <c r="A43" i="16" s="1"/>
  <c r="A44" i="16" s="1"/>
  <c r="A45" i="16" s="1"/>
  <c r="A46" i="16" s="1"/>
  <c r="A47" i="16" s="1"/>
  <c r="A48" i="16" s="1"/>
  <c r="A49" i="16" s="1"/>
  <c r="H41" i="16"/>
  <c r="A41" i="14"/>
  <c r="A42" i="14" s="1"/>
  <c r="A43" i="14" s="1"/>
  <c r="A44" i="14" s="1"/>
  <c r="A45" i="14" s="1"/>
  <c r="A46" i="14" s="1"/>
  <c r="A47" i="14" s="1"/>
  <c r="A48" i="14" s="1"/>
  <c r="D48" i="14"/>
  <c r="D40" i="14"/>
  <c r="D25" i="12" l="1"/>
  <c r="I25" i="12" s="1"/>
  <c r="D29" i="12"/>
  <c r="I29" i="12" s="1"/>
  <c r="D26" i="12"/>
  <c r="I26" i="12" s="1"/>
  <c r="D30" i="12"/>
  <c r="I30" i="12" s="1"/>
  <c r="D28" i="12"/>
  <c r="I28" i="12" s="1"/>
  <c r="D27" i="12"/>
  <c r="I27" i="12" s="1"/>
  <c r="I24" i="12"/>
  <c r="D31" i="12"/>
  <c r="C41" i="16"/>
  <c r="G41" i="16" s="1"/>
  <c r="G37" i="16"/>
  <c r="A45" i="21"/>
  <c r="A46" i="21" s="1"/>
  <c r="A47" i="21" s="1"/>
  <c r="A48" i="21" s="1"/>
  <c r="A49" i="11"/>
  <c r="I52" i="11"/>
  <c r="A69" i="19"/>
  <c r="A70" i="19" s="1"/>
  <c r="A77" i="13"/>
  <c r="A78" i="13" s="1"/>
  <c r="A49" i="15"/>
  <c r="A50" i="15" s="1"/>
  <c r="A51" i="15" s="1"/>
  <c r="A52" i="15" s="1"/>
  <c r="A53" i="15" s="1"/>
  <c r="M23" i="12"/>
  <c r="A50" i="16"/>
  <c r="A51" i="16" s="1"/>
  <c r="A52" i="16" s="1"/>
  <c r="A53" i="16" s="1"/>
  <c r="A54" i="16" s="1"/>
  <c r="H49" i="16"/>
  <c r="A49" i="14"/>
  <c r="A50" i="14" s="1"/>
  <c r="A51" i="14" s="1"/>
  <c r="A52" i="14" s="1"/>
  <c r="A53" i="14" s="1"/>
  <c r="D52" i="14"/>
  <c r="I31" i="12" l="1"/>
  <c r="A50" i="11"/>
  <c r="I50" i="11"/>
  <c r="A79" i="13"/>
  <c r="A80" i="13" s="1"/>
  <c r="E52" i="15"/>
  <c r="K24" i="12"/>
  <c r="L24" i="12" s="1"/>
  <c r="I108" i="11" l="1"/>
  <c r="A51" i="11"/>
  <c r="A52" i="11" s="1"/>
  <c r="A81" i="13"/>
  <c r="A82" i="13" s="1"/>
  <c r="M24" i="12"/>
  <c r="A53" i="11" l="1"/>
  <c r="A54" i="11" s="1"/>
  <c r="A55" i="11" s="1"/>
  <c r="A56" i="11" s="1"/>
  <c r="A57" i="11" s="1"/>
  <c r="A58" i="11" s="1"/>
  <c r="A59" i="11" s="1"/>
  <c r="A60" i="11" s="1"/>
  <c r="I85" i="11"/>
  <c r="A83" i="13"/>
  <c r="A84" i="13" s="1"/>
  <c r="A85" i="13" s="1"/>
  <c r="G20" i="13"/>
  <c r="K25" i="12"/>
  <c r="L25" i="12" s="1"/>
  <c r="A61" i="11" l="1"/>
  <c r="A86" i="13"/>
  <c r="A87" i="13" s="1"/>
  <c r="A88" i="13" s="1"/>
  <c r="A89" i="13" s="1"/>
  <c r="M25" i="12"/>
  <c r="A62" i="11" l="1"/>
  <c r="A90" i="13"/>
  <c r="A91" i="13" s="1"/>
  <c r="A92" i="13" s="1"/>
  <c r="A93" i="13" s="1"/>
  <c r="K26" i="12"/>
  <c r="L26" i="12" s="1"/>
  <c r="A63" i="11" l="1"/>
  <c r="I63" i="11"/>
  <c r="I65" i="11"/>
  <c r="A94" i="13"/>
  <c r="A95" i="13" s="1"/>
  <c r="A96" i="13" s="1"/>
  <c r="A97" i="13" s="1"/>
  <c r="M26" i="12"/>
  <c r="A64" i="11" l="1"/>
  <c r="A65" i="11" s="1"/>
  <c r="I130" i="11" s="1"/>
  <c r="I153" i="11"/>
  <c r="A98" i="13"/>
  <c r="A99" i="13" s="1"/>
  <c r="G22" i="13" s="1"/>
  <c r="K27" i="12"/>
  <c r="L27" i="12" s="1"/>
  <c r="M27" i="12" l="1"/>
  <c r="K28" i="12" l="1"/>
  <c r="L28" i="12" s="1"/>
  <c r="M28" i="12" l="1"/>
  <c r="K29" i="12" l="1"/>
  <c r="L29" i="12" s="1"/>
  <c r="M29" i="12" l="1"/>
  <c r="K30" i="12" l="1"/>
  <c r="L30" i="12" s="1"/>
  <c r="L31" i="12" s="1"/>
  <c r="M30" i="12" l="1"/>
  <c r="C19" i="15" s="1"/>
  <c r="C42" i="15" l="1"/>
  <c r="C20" i="16"/>
  <c r="C23" i="15"/>
  <c r="C27" i="15" s="1"/>
  <c r="G20" i="16" l="1"/>
  <c r="G24" i="16" s="1"/>
  <c r="C24" i="16"/>
  <c r="C28" i="16" s="1"/>
  <c r="G28" i="16" s="1"/>
  <c r="C43" i="16"/>
  <c r="C49" i="16" s="1"/>
  <c r="C53" i="16" s="1"/>
  <c r="G53" i="16" s="1"/>
  <c r="C48" i="15"/>
  <c r="C52" i="15" s="1"/>
  <c r="D13" i="1" l="1"/>
  <c r="D18" i="22"/>
  <c r="G43" i="16"/>
  <c r="G49" i="16" s="1"/>
  <c r="D19" i="22" l="1"/>
  <c r="D20" i="22" s="1"/>
  <c r="D21" i="22" s="1"/>
  <c r="D22" i="22" s="1"/>
  <c r="D23" i="22" s="1"/>
  <c r="D24" i="22" s="1"/>
  <c r="D25" i="22" s="1"/>
  <c r="D26" i="22" s="1"/>
  <c r="D27" i="22" s="1"/>
  <c r="D28" i="22" s="1"/>
  <c r="D29" i="22" s="1"/>
  <c r="D54" i="22" s="1"/>
  <c r="G18" i="22"/>
  <c r="F18" i="22"/>
  <c r="H18" i="22" s="1"/>
  <c r="F19" i="22" l="1"/>
  <c r="G19" i="22" s="1"/>
  <c r="H19" i="22" s="1"/>
  <c r="F20" i="22" s="1"/>
  <c r="G20" i="22" l="1"/>
  <c r="H20" i="22" s="1"/>
  <c r="F21" i="22" s="1"/>
  <c r="G21" i="22" s="1"/>
  <c r="H21" i="22" s="1"/>
  <c r="F22" i="22" l="1"/>
  <c r="G22" i="22" s="1"/>
  <c r="H22" i="22" s="1"/>
  <c r="F23" i="22" l="1"/>
  <c r="G23" i="22"/>
  <c r="H23" i="22" s="1"/>
  <c r="F24" i="22" l="1"/>
  <c r="G24" i="22"/>
  <c r="H24" i="22" s="1"/>
  <c r="F25" i="22" l="1"/>
  <c r="G25" i="22"/>
  <c r="H25" i="22" s="1"/>
  <c r="F26" i="22" s="1"/>
  <c r="G26" i="22" l="1"/>
  <c r="H26" i="22" s="1"/>
  <c r="F27" i="22" l="1"/>
  <c r="G27" i="22"/>
  <c r="H27" i="22" s="1"/>
  <c r="F28" i="22" l="1"/>
  <c r="G28" i="22"/>
  <c r="H28" i="22" s="1"/>
  <c r="F29" i="22" l="1"/>
  <c r="G29" i="22" s="1"/>
  <c r="H29" i="22" s="1"/>
  <c r="F30" i="22" l="1"/>
  <c r="G30" i="22" s="1"/>
  <c r="H30" i="22" s="1"/>
  <c r="F31" i="22" s="1"/>
  <c r="G31" i="22" l="1"/>
  <c r="H31" i="22"/>
  <c r="F32" i="22" l="1"/>
  <c r="G32" i="22" s="1"/>
  <c r="H32" i="22" s="1"/>
  <c r="F33" i="22" l="1"/>
  <c r="G33" i="22" s="1"/>
  <c r="H33" i="22" s="1"/>
  <c r="F34" i="22" l="1"/>
  <c r="G34" i="22" s="1"/>
  <c r="H34" i="22" s="1"/>
  <c r="F35" i="22" l="1"/>
  <c r="G35" i="22"/>
  <c r="H35" i="22" s="1"/>
  <c r="F36" i="22" l="1"/>
  <c r="G36" i="22" s="1"/>
  <c r="H36" i="22" s="1"/>
  <c r="F37" i="22" l="1"/>
  <c r="G37" i="22" s="1"/>
  <c r="H37" i="22" s="1"/>
  <c r="F38" i="22" l="1"/>
  <c r="G38" i="22"/>
  <c r="H38" i="22" s="1"/>
  <c r="F39" i="22" l="1"/>
  <c r="G39" i="22" s="1"/>
  <c r="H39" i="22" s="1"/>
  <c r="F40" i="22" l="1"/>
  <c r="G40" i="22"/>
  <c r="H40" i="22" s="1"/>
  <c r="F41" i="22" l="1"/>
  <c r="G41" i="22"/>
  <c r="H41" i="22" s="1"/>
  <c r="F42" i="22" s="1"/>
  <c r="G42" i="22" s="1"/>
  <c r="H42" i="22" l="1"/>
  <c r="F43" i="22"/>
  <c r="G43" i="22" l="1"/>
  <c r="H43" i="22" s="1"/>
  <c r="F44" i="22" l="1"/>
  <c r="G44" i="22" l="1"/>
  <c r="H44" i="22" s="1"/>
  <c r="F45" i="22" l="1"/>
  <c r="G45" i="22" l="1"/>
  <c r="H45" i="22" s="1"/>
  <c r="F46" i="22" l="1"/>
  <c r="G46" i="22" l="1"/>
  <c r="H46" i="22" s="1"/>
  <c r="F47" i="22" l="1"/>
  <c r="G47" i="22" l="1"/>
  <c r="H47" i="22" s="1"/>
  <c r="F48" i="22" l="1"/>
  <c r="G48" i="22" l="1"/>
  <c r="H48" i="22" s="1"/>
  <c r="F49" i="22" l="1"/>
  <c r="G49" i="22" l="1"/>
  <c r="H49" i="22" s="1"/>
  <c r="F50" i="22" l="1"/>
  <c r="G50" i="22" l="1"/>
  <c r="H50" i="22" s="1"/>
  <c r="F51" i="22" l="1"/>
  <c r="G51" i="22" l="1"/>
  <c r="H51" i="22" s="1"/>
  <c r="G14" i="1"/>
  <c r="G15" i="1" s="1"/>
  <c r="G16" i="1" s="1"/>
  <c r="G17" i="1" s="1"/>
  <c r="G18" i="1" s="1"/>
  <c r="G19" i="1" s="1"/>
  <c r="G20" i="1" s="1"/>
  <c r="G21" i="1" s="1"/>
  <c r="A14" i="1"/>
  <c r="A15" i="1" s="1"/>
  <c r="A16" i="1" s="1"/>
  <c r="A17" i="1" s="1"/>
  <c r="A18" i="1" s="1"/>
  <c r="A19" i="1" s="1"/>
  <c r="A20" i="1" s="1"/>
  <c r="A21" i="1" s="1"/>
  <c r="F52" i="22" l="1"/>
  <c r="G52" i="22" l="1"/>
  <c r="H52" i="22" s="1"/>
  <c r="F53" i="22" l="1"/>
  <c r="G53" i="22" s="1"/>
  <c r="G54" i="22" s="1"/>
  <c r="D15" i="1" s="1"/>
  <c r="H53" i="22" l="1"/>
  <c r="D17" i="1" l="1"/>
  <c r="D21" i="1" s="1"/>
</calcChain>
</file>

<file path=xl/sharedStrings.xml><?xml version="1.0" encoding="utf-8"?>
<sst xmlns="http://schemas.openxmlformats.org/spreadsheetml/2006/main" count="1114" uniqueCount="656">
  <si>
    <t>San Diego Gas &amp; Electric Company</t>
  </si>
  <si>
    <t>($1,000)</t>
  </si>
  <si>
    <t>Line</t>
  </si>
  <si>
    <t>Description</t>
  </si>
  <si>
    <t>Amounts</t>
  </si>
  <si>
    <t>Reference</t>
  </si>
  <si>
    <t>No.</t>
  </si>
  <si>
    <t>B</t>
  </si>
  <si>
    <t>Interest Expense</t>
  </si>
  <si>
    <t>Total</t>
  </si>
  <si>
    <t>(a)</t>
  </si>
  <si>
    <t xml:space="preserve"> </t>
  </si>
  <si>
    <t>A</t>
  </si>
  <si>
    <t>C = A - B</t>
  </si>
  <si>
    <t>Difference</t>
  </si>
  <si>
    <t>Incr (Decr)</t>
  </si>
  <si>
    <t>√</t>
  </si>
  <si>
    <t>Transmission Related A&amp;G Expense</t>
  </si>
  <si>
    <t>CPUC Intervenor Funding Expense - Transmission</t>
  </si>
  <si>
    <t>Shall be Zero</t>
  </si>
  <si>
    <t>Transmission Related Electric Miscellaneous Intangible Plant</t>
  </si>
  <si>
    <t>Transmission Related General Plant</t>
  </si>
  <si>
    <t>Net Transmission Plant</t>
  </si>
  <si>
    <t>Cost Adjustment Workpapers</t>
  </si>
  <si>
    <t>SAN DIEGO GAS &amp; ELECTRIC COMPANY</t>
  </si>
  <si>
    <t>Statement AH</t>
  </si>
  <si>
    <t>Operation and Maintenance Expenses</t>
  </si>
  <si>
    <t>FERC Form 1</t>
  </si>
  <si>
    <t>Page; Line; Col.</t>
  </si>
  <si>
    <t>Adjustments to Per Book Transmission O&amp;M Expense:</t>
  </si>
  <si>
    <t>Adjustments to Per Book A&amp;G Expense:</t>
  </si>
  <si>
    <t xml:space="preserve">   Abandoned Projects</t>
  </si>
  <si>
    <t xml:space="preserve">   CPUC energy efficiency programs</t>
  </si>
  <si>
    <t xml:space="preserve">   CPUC Intervenor Funding Expense - Distribution</t>
  </si>
  <si>
    <t xml:space="preserve">   CPUC reimbursement fees</t>
  </si>
  <si>
    <t xml:space="preserve">   Injuries &amp; Damages</t>
  </si>
  <si>
    <t xml:space="preserve">   General Advertising Expenses </t>
  </si>
  <si>
    <t xml:space="preserve">   Franchise Requirements</t>
  </si>
  <si>
    <t xml:space="preserve">   Hazardous substances - Hazardous Substance Cleanup Cost Account</t>
  </si>
  <si>
    <t xml:space="preserve">   Litigation expenses - Litigation Cost Memorandum Account (LCMA)</t>
  </si>
  <si>
    <t xml:space="preserve">   Other A&amp;G Exclusion Adjustments</t>
  </si>
  <si>
    <t>Less: Property Insurance (Due to different allocation factor)</t>
  </si>
  <si>
    <t>Transmission Wages and Salaries Allocation Factor</t>
  </si>
  <si>
    <t>Property Insurance Allocated to Transmission, General, and Common Plant</t>
  </si>
  <si>
    <t>Derivation of Transmission Plant Property Insurance Allocation Factor:</t>
  </si>
  <si>
    <t>Transmission Plant &amp; Incentive Transmission Plant</t>
  </si>
  <si>
    <t xml:space="preserve">Transmission Related Common Plant </t>
  </si>
  <si>
    <t xml:space="preserve">     Total Transmission Related Investment in Plant</t>
  </si>
  <si>
    <t>Total Transmission Plant &amp; Incentive Transmission Plant</t>
  </si>
  <si>
    <t>Total Steam Production Plant</t>
  </si>
  <si>
    <t>Total Nuclear Production Plant</t>
  </si>
  <si>
    <t>Total Other Production Plant</t>
  </si>
  <si>
    <t>Total Distribution Plant</t>
  </si>
  <si>
    <t>Total General Plant</t>
  </si>
  <si>
    <t>Total Common Plant</t>
  </si>
  <si>
    <t xml:space="preserve">     Total Plant in Service Excluding SONGS</t>
  </si>
  <si>
    <t>Electric Transmission O&amp;M Expenses</t>
  </si>
  <si>
    <t>(b)</t>
  </si>
  <si>
    <t>(c) = (a) - (b)</t>
  </si>
  <si>
    <t>(e) = (c) + (d)</t>
  </si>
  <si>
    <t>FERC</t>
  </si>
  <si>
    <t>Excluded</t>
  </si>
  <si>
    <t>Revised</t>
  </si>
  <si>
    <t>Acct</t>
  </si>
  <si>
    <t>Per Books</t>
  </si>
  <si>
    <t>Expenses</t>
  </si>
  <si>
    <t>Adjusted</t>
  </si>
  <si>
    <t xml:space="preserve">O&amp;M </t>
  </si>
  <si>
    <t>Electric Transmission Operation</t>
  </si>
  <si>
    <t>Operation Supervision and Engineering</t>
  </si>
  <si>
    <t>Form 1; Page 321; Line 83</t>
  </si>
  <si>
    <t>Load Dispatch - Reliability</t>
  </si>
  <si>
    <t>Form 1; Page 321; Line 85</t>
  </si>
  <si>
    <t>Load Dispatch - Monitor and Operate Transmission System</t>
  </si>
  <si>
    <t>Form 1; Page 321; Line 86</t>
  </si>
  <si>
    <t>Load Dispatch - Transmission Service and Scheduling</t>
  </si>
  <si>
    <t>Form 1; Page 321; Line 87</t>
  </si>
  <si>
    <t xml:space="preserve">Scheduling, System Control and Dispatch Services </t>
  </si>
  <si>
    <t>Form 1; Page 321; Line 88</t>
  </si>
  <si>
    <t>Reliability, Planning and Standards Development</t>
  </si>
  <si>
    <t>Form 1; Page 321; Line 89</t>
  </si>
  <si>
    <t>Transmission Service Studies</t>
  </si>
  <si>
    <t>Form 1; Page 321; Line 90</t>
  </si>
  <si>
    <t>Generation Interconnection Studies</t>
  </si>
  <si>
    <t>Form 1; Page 321; Line 91</t>
  </si>
  <si>
    <t xml:space="preserve">Reliability, Planning and Standards Development Services </t>
  </si>
  <si>
    <t>Form 1; Page 321; Line 92</t>
  </si>
  <si>
    <t>Form 1; Page 321; Line 93</t>
  </si>
  <si>
    <t>Form 1; Page 321; Line 94</t>
  </si>
  <si>
    <t>Underground Line Expenses</t>
  </si>
  <si>
    <t>Form 1; Page 321; Line 95</t>
  </si>
  <si>
    <t>Transmission of Electricity by Others</t>
  </si>
  <si>
    <t>Form 1; Page 321; Line 96</t>
  </si>
  <si>
    <t>Misc. Transmission Expenses</t>
  </si>
  <si>
    <t>Form 1; Page 321; Line 97</t>
  </si>
  <si>
    <t>Rents</t>
  </si>
  <si>
    <t>Form 1; Page 321; Line 98</t>
  </si>
  <si>
    <t xml:space="preserve">     Total Electric Transmission Operation </t>
  </si>
  <si>
    <t>Electric Transmission Maintenance</t>
  </si>
  <si>
    <t>Maintenance Supervision and Engineering</t>
  </si>
  <si>
    <t>Form 1; Page 321; Line 101</t>
  </si>
  <si>
    <t>Maintenance of Structures</t>
  </si>
  <si>
    <t>Form 1; Page 321; Line 102</t>
  </si>
  <si>
    <t>Maintenance of Computer Hardware</t>
  </si>
  <si>
    <t>Form 1; Page 321; Line 103</t>
  </si>
  <si>
    <t>Maintenance of Computer Software</t>
  </si>
  <si>
    <t>Form 1; Page 321; Line 104</t>
  </si>
  <si>
    <t>Maintenance of Communication Equipment</t>
  </si>
  <si>
    <t>Form 1; Page 321; Line 105</t>
  </si>
  <si>
    <t>Maintenance of Misc. Regional Transmission Plant</t>
  </si>
  <si>
    <t>Form 1; Page 321; Line 106</t>
  </si>
  <si>
    <t>Form 1; Page 321; Line 107</t>
  </si>
  <si>
    <t>Form 1; Page 321; Line 108</t>
  </si>
  <si>
    <t>Form 1; Page 321; Line 109</t>
  </si>
  <si>
    <t>Maintenance of Misc. Transmission Plant</t>
  </si>
  <si>
    <t>Form 1; Page 321; Line 110</t>
  </si>
  <si>
    <t>Total Electric Transmission O&amp;M Expenses</t>
  </si>
  <si>
    <t>560</t>
  </si>
  <si>
    <t>Executive ICP</t>
  </si>
  <si>
    <t>Scheduling, System Control and Dispatch Services (ERRA)</t>
  </si>
  <si>
    <t>Reliability, Planning and Standards Development Services (ERRA)</t>
  </si>
  <si>
    <t>Transmission of Electricity by Others (ERRA)</t>
  </si>
  <si>
    <t>Total Excluded Expenses</t>
  </si>
  <si>
    <t>Administrative &amp; General Expenses</t>
  </si>
  <si>
    <t xml:space="preserve">A&amp;G </t>
  </si>
  <si>
    <t>Administrative &amp; General</t>
  </si>
  <si>
    <t>A&amp;G Salaries</t>
  </si>
  <si>
    <t>Form 1; Page 323; Line 181</t>
  </si>
  <si>
    <t>Office Supplies &amp; Expenses</t>
  </si>
  <si>
    <t>Form 1; Page 323; Line 182</t>
  </si>
  <si>
    <t>Less: Administrative Expenses Transferred-Credit</t>
  </si>
  <si>
    <t>Form 1; Page 323; Line 183</t>
  </si>
  <si>
    <t>Outside Services Employed</t>
  </si>
  <si>
    <t>Form 1; Page 323; Line 184</t>
  </si>
  <si>
    <t>Property Insurance</t>
  </si>
  <si>
    <t>Form 1; Page 323; Line 185</t>
  </si>
  <si>
    <t>Injuries &amp; Damages</t>
  </si>
  <si>
    <t>Form 1; Page 323; Line 186</t>
  </si>
  <si>
    <t>Form 1; Page 323; Line 187</t>
  </si>
  <si>
    <t xml:space="preserve">Franchise Requirements </t>
  </si>
  <si>
    <t>Form 1; Page 323; Line 188</t>
  </si>
  <si>
    <t>Form 1; Page 323; Line 189</t>
  </si>
  <si>
    <t>Less: Duplicate Charges (Company Energy Use)</t>
  </si>
  <si>
    <t>Form 1; Page 323; Line 190</t>
  </si>
  <si>
    <t>General Advertising Expenses</t>
  </si>
  <si>
    <t>Form 1; Page 323; Line 191</t>
  </si>
  <si>
    <t>Miscellaneous General Expenses</t>
  </si>
  <si>
    <t>Form 1; Page 323; Line 192</t>
  </si>
  <si>
    <t>Form 1; Page 323; Line 193</t>
  </si>
  <si>
    <t>Maintenance of General Plant</t>
  </si>
  <si>
    <t>Form 1; Page 323; Line 196</t>
  </si>
  <si>
    <t>Total Administrative &amp; General Expenses</t>
  </si>
  <si>
    <t>Excluded Expenses:</t>
  </si>
  <si>
    <t>CPUC energy efficiency programs</t>
  </si>
  <si>
    <t>Litigation expenses (ERRA)</t>
  </si>
  <si>
    <t>Other A&amp;G Exclusion Adjustments</t>
  </si>
  <si>
    <t>CPUC Intervenor Funding Expense - Distribution</t>
  </si>
  <si>
    <t xml:space="preserve">CPUC reimbursement fees  </t>
  </si>
  <si>
    <t>Litigation expenses - Litigation Cost Memorandum Account (LCMA)</t>
  </si>
  <si>
    <t xml:space="preserve">CPUC energy efficiency programs  </t>
  </si>
  <si>
    <t>Abandoned Projects</t>
  </si>
  <si>
    <t xml:space="preserve">Hazardous Substances-Hazardous Substance Cleanup Cost Account </t>
  </si>
  <si>
    <t>Statement AL</t>
  </si>
  <si>
    <t>Working Capital</t>
  </si>
  <si>
    <t>Working</t>
  </si>
  <si>
    <t>13-Months</t>
  </si>
  <si>
    <t>Cash</t>
  </si>
  <si>
    <t>Average Balance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</si>
  <si>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</si>
  <si>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t>450.1; Sch. Pg. 227; 12; c</t>
  </si>
  <si>
    <t>Transmission Plant Allocation Factor</t>
  </si>
  <si>
    <t xml:space="preserve">     Transmission Related Materials and Supplies 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</si>
  <si>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</si>
  <si>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450.1; Sch. Pg. 110; 57; c</t>
  </si>
  <si>
    <t xml:space="preserve">     Transmission Related Prepayments 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</si>
  <si>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</si>
  <si>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</si>
  <si>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</si>
  <si>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</si>
  <si>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</si>
  <si>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 xml:space="preserve">   One Eighth O&amp;M Rule</t>
  </si>
  <si>
    <t>FERC Method = 1/8 of O&amp;M Expense</t>
  </si>
  <si>
    <t xml:space="preserve">     Transmission Related Cash Working Capital - Retail Customers</t>
  </si>
  <si>
    <t>The balances for Materials &amp; Supplies and Prepayments are derived based on a 13-month average balance.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</si>
  <si>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</si>
  <si>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</si>
  <si>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</si>
  <si>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</si>
  <si>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</si>
  <si>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</si>
  <si>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</si>
  <si>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</si>
  <si>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</si>
  <si>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</si>
  <si>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</si>
  <si>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</si>
  <si>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</si>
  <si>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</si>
  <si>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</si>
  <si>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</si>
  <si>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</si>
  <si>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</si>
  <si>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</si>
  <si>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</si>
  <si>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</si>
  <si>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</si>
  <si>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</si>
  <si>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</si>
  <si>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</si>
  <si>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</si>
  <si>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Cost of Long-Term Debt: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</si>
  <si>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</si>
  <si>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</si>
  <si>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</si>
  <si>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</si>
  <si>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</si>
  <si>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</si>
  <si>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Common Equity Component:</t>
  </si>
  <si>
    <t>Proprietary Capital</t>
  </si>
  <si>
    <t>112; 16; c</t>
  </si>
  <si>
    <t>Less: Preferred Stock (Acct 204)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</si>
  <si>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</si>
  <si>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</si>
  <si>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</si>
  <si>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</si>
  <si>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</si>
  <si>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</si>
  <si>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</si>
  <si>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</si>
  <si>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</si>
  <si>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</si>
  <si>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</si>
  <si>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</si>
  <si>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</si>
  <si>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</si>
  <si>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</si>
  <si>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</si>
  <si>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</si>
  <si>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</si>
  <si>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</si>
  <si>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</si>
  <si>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</si>
  <si>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Amount is based upon December 31 balances.</t>
  </si>
  <si>
    <t>Incentive Weighted Cost of Capital:</t>
  </si>
  <si>
    <t>Incentive Cost of Equity Component (Preferred &amp; Common):</t>
  </si>
  <si>
    <t>Where:</t>
  </si>
  <si>
    <t xml:space="preserve">     A = Sum of Preferred Stock and Return on Equity Component</t>
  </si>
  <si>
    <t xml:space="preserve">     B = Transmission Total Federal Tax Adjustments</t>
  </si>
  <si>
    <t xml:space="preserve">     C = Equity AFUDC Component of Transmission Depreciation Expense</t>
  </si>
  <si>
    <t xml:space="preserve">     D = Transmission Rate Base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</si>
  <si>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</si>
  <si>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</si>
  <si>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</si>
  <si>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</si>
  <si>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</si>
  <si>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</si>
  <si>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</si>
  <si>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</si>
  <si>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</si>
  <si>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</si>
  <si>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</si>
  <si>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</si>
  <si>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</si>
  <si>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</si>
  <si>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</si>
  <si>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</si>
  <si>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</si>
  <si>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</si>
  <si>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</si>
  <si>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</si>
  <si>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</si>
  <si>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</si>
  <si>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>(d)</t>
    </r>
    <r>
      <rPr>
        <b/>
        <vertAlign val="superscript"/>
        <sz val="12"/>
        <rFont val="Times New Roman"/>
        <family val="1"/>
      </rPr>
      <t xml:space="preserve"> 2</t>
    </r>
  </si>
  <si>
    <t>Total Annual Costs Citizens' Share of the SX-PQ Underground Line Segment - Before Interest</t>
  </si>
  <si>
    <t>CITIZENS' SHARE OF THE SX-PQ UNDERGROUND LINE SEGMENT</t>
  </si>
  <si>
    <t>Summary of Cost Components</t>
  </si>
  <si>
    <t>Description of Annual Costs</t>
  </si>
  <si>
    <t>Section 1 - Direct Maintenance Expense Cost Component</t>
  </si>
  <si>
    <t>Section 2 - Non-Direct Expense Cost Component</t>
  </si>
  <si>
    <t>Section 3 - Cost Component Containing Other Specific Expenses</t>
  </si>
  <si>
    <t>Section 4 - True-Up Adjustment Cost Component (Over)/Undercollection</t>
  </si>
  <si>
    <t>Section 5 - Interest True-Up Adjustment Cost Component</t>
  </si>
  <si>
    <t>Subtotal Annual Costs</t>
  </si>
  <si>
    <t>Other Adjustments</t>
  </si>
  <si>
    <t>Total Annual Costs</t>
  </si>
  <si>
    <t>Description of Monthly Costs</t>
  </si>
  <si>
    <t>Total Monthly Costs</t>
  </si>
  <si>
    <t>Number of Months in Base Period</t>
  </si>
  <si>
    <t>Items in bold have changed compared to the original Appendix XII Cycle 3 filing per ER21-320.</t>
  </si>
  <si>
    <t xml:space="preserve">Total Annual Costs Adjustment 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</si>
  <si>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</si>
  <si>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</si>
  <si>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</si>
  <si>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</si>
  <si>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</si>
  <si>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</si>
  <si>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</si>
  <si>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</si>
  <si>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</si>
  <si>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</si>
  <si>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</si>
  <si>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Lease Agreement</t>
  </si>
  <si>
    <t>Total Annual Carrying Charge Rate</t>
  </si>
  <si>
    <t xml:space="preserve">     Total Non-Direct Expense</t>
  </si>
  <si>
    <t>A. Transmission Related O&amp;M Expense</t>
  </si>
  <si>
    <t>Transmission O&amp;M Expense</t>
  </si>
  <si>
    <t xml:space="preserve">     Transmission O&amp;M Expense Carrying Charge Percentage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</si>
  <si>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</si>
  <si>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</si>
  <si>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</si>
  <si>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C. Transmission Related Property Tax Expense</t>
  </si>
  <si>
    <t xml:space="preserve">     Transmission Related Property Tax Carrying Charge Percentage</t>
  </si>
  <si>
    <t>D. Transmission Related Payroll Tax Expense</t>
  </si>
  <si>
    <t xml:space="preserve">     Transmission Related Payroll Tax Carrying Charge Percentage</t>
  </si>
  <si>
    <t>E. Transmission Related Working Capital Revenue</t>
  </si>
  <si>
    <t>Transmission Related M&amp;S Allocated to Transmission</t>
  </si>
  <si>
    <t>Transmission Related Prepayments Allocated to Transmission</t>
  </si>
  <si>
    <t>Transmission Related Working Cash</t>
  </si>
  <si>
    <t xml:space="preserve">     Total Transmission Related Working Capital</t>
  </si>
  <si>
    <t>Cost of Capital Rate</t>
  </si>
  <si>
    <t>Transmission Working Capital Revenue</t>
  </si>
  <si>
    <t xml:space="preserve">     Transmission Related Working Capital Revenue Carrying Charge Percentage</t>
  </si>
  <si>
    <t>F. Transmission Related General &amp; Common Plant Revenue</t>
  </si>
  <si>
    <t>Net Transmission Related General Plant</t>
  </si>
  <si>
    <t>Net Transmission Related Common Plant</t>
  </si>
  <si>
    <t>Total Net Transmission Related General and Common Plant</t>
  </si>
  <si>
    <t>Transmission Related General and Common Return and Associated Income Taxes</t>
  </si>
  <si>
    <t>Transmission Related General and Common Depreciation Expense</t>
  </si>
  <si>
    <t>Total Transmission Related General and Common Plant Revenues</t>
  </si>
  <si>
    <t xml:space="preserve">     Total Transmission Related General and Common Plant Carrying Charge Percentage</t>
  </si>
  <si>
    <t>DERIVATION OF CITIZENS' TRUE-UP ADJUSTMENT -  (OVER) / UNDERCOLLECTION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</si>
  <si>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</si>
  <si>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</si>
  <si>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</si>
  <si>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</si>
  <si>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</si>
  <si>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</si>
  <si>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</si>
  <si>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</si>
  <si>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</si>
  <si>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</si>
  <si>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</si>
  <si>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Calculations:</t>
  </si>
  <si>
    <t>Cumulative</t>
  </si>
  <si>
    <t>Monthly</t>
  </si>
  <si>
    <t>Overcollection (-) or</t>
  </si>
  <si>
    <t>Prior</t>
  </si>
  <si>
    <t>Adjusted Monthly</t>
  </si>
  <si>
    <t>Undercollection (+)</t>
  </si>
  <si>
    <t>True-Up</t>
  </si>
  <si>
    <t>Prior Other</t>
  </si>
  <si>
    <t>Interest</t>
  </si>
  <si>
    <t>in Revenue</t>
  </si>
  <si>
    <t>Month</t>
  </si>
  <si>
    <t>Year</t>
  </si>
  <si>
    <r>
      <t>Cost of Service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</si>
  <si>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>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</si>
  <si>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</si>
  <si>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</si>
  <si>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Revenues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</si>
  <si>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</si>
  <si>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</si>
  <si>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</si>
  <si>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</si>
  <si>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</si>
  <si>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</si>
  <si>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</si>
  <si>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</si>
  <si>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</si>
  <si>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</si>
  <si>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</si>
  <si>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</si>
  <si>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</si>
  <si>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</si>
  <si>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</si>
  <si>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Monthly True-Up Revenues comprises the prior cycle costs applicable to the true-up period.</t>
  </si>
  <si>
    <t>Adjustment to back-out the applicable prior year true-up and interest true-up adjustments that are included in the recorded monthly true-up revenues in Column 3.</t>
  </si>
  <si>
    <t>Adjustment to back-out Other Adjustments from a prior year which would be included in the recorded monthly true-up revenues in Column 3. Such adjustments include, but are not limited to, error adjustments and out-of-cycle recovery or refunds ordered by the</t>
  </si>
  <si>
    <t>Commission for a previous year.</t>
  </si>
  <si>
    <t>Rates specified on the FERC website pursuant to Section 35.19a of the Commission regulation.</t>
  </si>
  <si>
    <t>Derived using the prior month balance in Column 11 plus the current month balance in Column 7.</t>
  </si>
  <si>
    <t>Interest is calculated using an average of beginning and ending balances: 1) in month 1, the average is 1/2 of balance in Column 7; and 2) in subsequent months is the average of prior month balance in Column 11 and the current month balance in Column 9.</t>
  </si>
  <si>
    <t>Derivation of Direct Maintenance Expense:</t>
  </si>
  <si>
    <t>Total Direct Maintenance Cost</t>
  </si>
  <si>
    <t>Derivation of Non-Direct Transmission Operation and Maintenance Expense:</t>
  </si>
  <si>
    <t>Total Non-Direct Transmission O&amp;M Expense</t>
  </si>
  <si>
    <t xml:space="preserve">   Scheduling, System Control &amp; Dispatch Services</t>
  </si>
  <si>
    <t xml:space="preserve">   Reliability, Planning &amp; Standards Development</t>
  </si>
  <si>
    <t xml:space="preserve">   Station Expenses</t>
  </si>
  <si>
    <t xml:space="preserve">   Overhead Line Expense</t>
  </si>
  <si>
    <t xml:space="preserve">   Transmission of Electricity by Others</t>
  </si>
  <si>
    <t xml:space="preserve">   Miscellaneous Transmission Expense </t>
  </si>
  <si>
    <t xml:space="preserve">   Maintenance of Station Equipment</t>
  </si>
  <si>
    <t xml:space="preserve">   Maintenance of Overhead Lines</t>
  </si>
  <si>
    <t xml:space="preserve">   Maintenance of Underground Lines</t>
  </si>
  <si>
    <t xml:space="preserve">   Other Transmission Non-Direct O&amp;M Exclusion Adjustments </t>
  </si>
  <si>
    <t>Negative of AH-2; Line 41; Col. b</t>
  </si>
  <si>
    <t xml:space="preserve">   Other Cost Adjustments</t>
  </si>
  <si>
    <t>AH-2; Line 37; Col. d</t>
  </si>
  <si>
    <t xml:space="preserve">     Total Non-Direct Adjusted Transmission O&amp;M Expenses </t>
  </si>
  <si>
    <t>Derivation of Non-Direct Administrative and General Expense:</t>
  </si>
  <si>
    <t>Total Non-Direct Administrative &amp; General Expense</t>
  </si>
  <si>
    <t>Negative of AH-3; Line 36; Col. a</t>
  </si>
  <si>
    <t>Negative of AH-3; Line 37; Col. a</t>
  </si>
  <si>
    <t>Negative of AH-3; Line 42; Col. a</t>
  </si>
  <si>
    <t xml:space="preserve">     Total Adjusted Non-Direct A&amp;G Expenses Including Property Insurance</t>
  </si>
  <si>
    <t>Total Adjusted Non-Direct A&amp;G Expenses Excluding Property Insurance</t>
  </si>
  <si>
    <t>Transmission Related Non-Direct Administrative &amp; General Expenses</t>
  </si>
  <si>
    <t xml:space="preserve">     Transmission Related Non-Direct A&amp;G Expense Including Property Insurance Expense</t>
  </si>
  <si>
    <r>
      <t xml:space="preserve">Transmission Property Insurance and Tax Allocation Factor </t>
    </r>
    <r>
      <rPr>
        <b/>
        <vertAlign val="superscript"/>
        <sz val="12"/>
        <rFont val="Times New Roman"/>
        <family val="1"/>
      </rPr>
      <t>1</t>
    </r>
  </si>
  <si>
    <r>
      <t>(d)</t>
    </r>
    <r>
      <rPr>
        <b/>
        <vertAlign val="superscript"/>
        <sz val="12"/>
        <rFont val="Times New Roman"/>
        <family val="1"/>
      </rPr>
      <t xml:space="preserve"> 4</t>
    </r>
  </si>
  <si>
    <t xml:space="preserve">Add / (Deduct) </t>
  </si>
  <si>
    <t>O&amp;M Cost Adj</t>
  </si>
  <si>
    <r>
      <t xml:space="preserve">Station Expenses </t>
    </r>
    <r>
      <rPr>
        <b/>
        <vertAlign val="superscript"/>
        <sz val="12"/>
        <rFont val="Times New Roman"/>
        <family val="1"/>
      </rPr>
      <t>1</t>
    </r>
  </si>
  <si>
    <t xml:space="preserve">Overhead Line Expenses  </t>
  </si>
  <si>
    <r>
      <t xml:space="preserve">Maintenance of Station Equipment </t>
    </r>
    <r>
      <rPr>
        <vertAlign val="superscript"/>
        <sz val="12"/>
        <rFont val="Times New Roman"/>
        <family val="1"/>
      </rPr>
      <t>1</t>
    </r>
  </si>
  <si>
    <r>
      <t xml:space="preserve">Maintenance of Overhead Lines </t>
    </r>
    <r>
      <rPr>
        <vertAlign val="superscript"/>
        <sz val="12"/>
        <rFont val="Times New Roman"/>
        <family val="1"/>
      </rPr>
      <t>1</t>
    </r>
  </si>
  <si>
    <r>
      <t xml:space="preserve">Maintenance of Underground Lines </t>
    </r>
    <r>
      <rPr>
        <b/>
        <vertAlign val="superscript"/>
        <sz val="12"/>
        <rFont val="Times New Roman"/>
        <family val="1"/>
      </rPr>
      <t>2</t>
    </r>
  </si>
  <si>
    <t xml:space="preserve">  Total Electric Transmission Maintenance</t>
  </si>
  <si>
    <r>
      <t xml:space="preserve">Transmission O&amp;M Expenses Charged to Citizens </t>
    </r>
    <r>
      <rPr>
        <b/>
        <vertAlign val="superscript"/>
        <sz val="12"/>
        <rFont val="Times New Roman"/>
        <family val="1"/>
      </rPr>
      <t>3</t>
    </r>
  </si>
  <si>
    <t>Total Adjusted Electric Transmission O&amp;M Expenses</t>
  </si>
  <si>
    <t>Excluded Expenses (recovery method in parentheses)</t>
  </si>
  <si>
    <t>Misc. Transmission Expenses:</t>
  </si>
  <si>
    <t xml:space="preserve">     Century Energy Systems Balancing Account (CES-21BA)</t>
  </si>
  <si>
    <t xml:space="preserve">     Hazardous Substance Cleanup Cost Memo Account (HSCCMA)</t>
  </si>
  <si>
    <t xml:space="preserve">     ISO Grid Management Costs (ERRA)</t>
  </si>
  <si>
    <t xml:space="preserve">     Reliability Services (RS rates)</t>
  </si>
  <si>
    <t xml:space="preserve">     Other (TRBAA, TACBAA) </t>
  </si>
  <si>
    <r>
      <t xml:space="preserve">Maintenance of Station Equipment </t>
    </r>
    <r>
      <rPr>
        <b/>
        <vertAlign val="superscript"/>
        <sz val="12"/>
        <rFont val="Times New Roman"/>
        <family val="1"/>
      </rPr>
      <t>1</t>
    </r>
  </si>
  <si>
    <r>
      <t xml:space="preserve">Maintenance of Overhead Lines </t>
    </r>
    <r>
      <rPr>
        <b/>
        <vertAlign val="superscript"/>
        <sz val="12"/>
        <rFont val="Times New Roman"/>
        <family val="1"/>
      </rPr>
      <t>1</t>
    </r>
  </si>
  <si>
    <t>Citizens O&amp;M should not include substation, underground, and overhead line maintenance per the Appendix XII Tariff (See Section I.C - number 31).</t>
  </si>
  <si>
    <t>As a result, such items are excluded in Column b.</t>
  </si>
  <si>
    <t xml:space="preserve">Account 572 for Underground Line Maintenance is excluded because Citizens is charged via a Direct Maintenance order, which is reflected on AH-1. </t>
  </si>
  <si>
    <t>Transmission O&amp;M Expenses in SAP Account 7000721, which was created to track Citizens SX-PQ O&amp;M Expense.</t>
  </si>
  <si>
    <t>A&amp;G Cost Adj</t>
  </si>
  <si>
    <t>Employee Pensions &amp; Benefits</t>
  </si>
  <si>
    <t xml:space="preserve">Regulatory Commission Expenses  </t>
  </si>
  <si>
    <r>
      <t xml:space="preserve">Transmission Related A&amp;G Expenses Charged to Citizens </t>
    </r>
    <r>
      <rPr>
        <b/>
        <vertAlign val="superscript"/>
        <sz val="12"/>
        <rFont val="Times New Roman"/>
        <family val="1"/>
      </rPr>
      <t>1</t>
    </r>
  </si>
  <si>
    <t>Total Adjusted Administrative &amp; General Expenses</t>
  </si>
  <si>
    <t>Account 7000722, which was created to track Citizens SX-PQ A&amp;G Expense.</t>
  </si>
  <si>
    <t>SAN DIEGO GAS AND ELECTRIC COMPANY</t>
  </si>
  <si>
    <t>Incentive Return on Common Equity: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</si>
  <si>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</si>
  <si>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</si>
  <si>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</si>
  <si>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</si>
  <si>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$56K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</si>
  <si>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</si>
  <si>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</si>
  <si>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 xml:space="preserve">Total Monthly Costs Adjustment </t>
  </si>
  <si>
    <t xml:space="preserve">Section C.6a of the Protocols provides a mechanism for SDG&amp;E to correct errors that affected the Appendix XII costs in a previous Informational Filing. </t>
  </si>
  <si>
    <r>
      <t>Return on Common Equity:</t>
    </r>
    <r>
      <rPr>
        <sz val="12"/>
        <rFont val="Times New Roman"/>
        <family val="1"/>
      </rPr>
      <t xml:space="preserve"> </t>
    </r>
    <r>
      <rPr>
        <vertAlign val="superscript"/>
        <sz val="12"/>
        <color rgb="FFFF0000"/>
        <rFont val="Times New Roman"/>
        <family val="1"/>
      </rPr>
      <t>2</t>
    </r>
  </si>
  <si>
    <t xml:space="preserve">Derivation of End Use Transmission Rate Base </t>
  </si>
  <si>
    <t>A. Derivation of Transmission Rate Base:</t>
  </si>
  <si>
    <t>Net Transmission Plant:</t>
  </si>
  <si>
    <t>Transmission Plant</t>
  </si>
  <si>
    <t>Transmission Related Common Plant</t>
  </si>
  <si>
    <t xml:space="preserve">     Total Net Transmission Plant</t>
  </si>
  <si>
    <t>Rate Base Additions:</t>
  </si>
  <si>
    <t>Transmission Plant Held for Future Use</t>
  </si>
  <si>
    <t>Transmission Plant Abandoned Project Cost</t>
  </si>
  <si>
    <t xml:space="preserve">     Total Rate Base Additions</t>
  </si>
  <si>
    <t>Rate Base Reductions:</t>
  </si>
  <si>
    <t>Transmission Related Accum. Def. Inc. Taxes</t>
  </si>
  <si>
    <t>Transmission Plant Abandoned Accum. Def. Inc. Taxes</t>
  </si>
  <si>
    <t xml:space="preserve">     Total Rate Base Reductions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</si>
  <si>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</si>
  <si>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</si>
  <si>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</si>
  <si>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</si>
  <si>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 xml:space="preserve">     Total Working Capital</t>
  </si>
  <si>
    <t>Other Regulatory Assets/Liabilities</t>
  </si>
  <si>
    <t xml:space="preserve">     Total Transmission Rate Base</t>
  </si>
  <si>
    <r>
      <t>B. Incentive ROE Project Transmission Rate Base:</t>
    </r>
    <r>
      <rPr>
        <sz val="12"/>
        <rFont val="Times New Roman"/>
        <family val="1"/>
      </rPr>
      <t xml:space="preserve"> 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</si>
  <si>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</si>
  <si>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</si>
  <si>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</si>
  <si>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r>
      <t>C. Incentive Transmission Plant Abandoned Project Rate Base:</t>
    </r>
    <r>
      <rPr>
        <sz val="12"/>
        <rFont val="Times New Roman"/>
        <family val="1"/>
      </rPr>
      <t xml:space="preserve"> 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</si>
  <si>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</si>
  <si>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</si>
  <si>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</si>
  <si>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D. Incentive Transmission Construction Work In Progress</t>
  </si>
  <si>
    <t>A. Derivation of Net Transmission Plant:</t>
  </si>
  <si>
    <t>Gross Transmission Plant:</t>
  </si>
  <si>
    <t>Transmission Related Electric Misc. Intangible Plant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</si>
  <si>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</si>
  <si>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</si>
  <si>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</si>
  <si>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</si>
  <si>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</si>
  <si>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</si>
  <si>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</si>
  <si>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B. Incentive Project Net Transmission Plant:</t>
  </si>
  <si>
    <t>Incentive Transmission Plant</t>
  </si>
  <si>
    <t>Incentive Transmission Plant Depreciation Reserve</t>
  </si>
  <si>
    <t xml:space="preserve">     Total Net Incentive Transmission Plant</t>
  </si>
  <si>
    <t>Sum Lines 3 and 5</t>
  </si>
  <si>
    <t>Line 7 / Line 9</t>
  </si>
  <si>
    <t>Total Citizens' Annual Prior Year Cost of Service</t>
  </si>
  <si>
    <t>Total Citizens' Monthly Prior Year Cost of Service</t>
  </si>
  <si>
    <t>Citizens' Lease Payment</t>
  </si>
  <si>
    <t>Citizens' Financed Transmission Projects:</t>
  </si>
  <si>
    <t>Negative of AH-3; Sum Lines 25, 26, 28, 29, 32, 35, 41, 44; Col. a or b</t>
  </si>
  <si>
    <t>Negative of AH-3; Line 38; Col. a</t>
  </si>
  <si>
    <t>Negative of AH-3; Line 30; Col. a</t>
  </si>
  <si>
    <t>Negative of AH-3; Line 40; Col. b</t>
  </si>
  <si>
    <t>Negative of AH-3; Line 34; Col. b</t>
  </si>
  <si>
    <t>Negative of AH-3; Line 43; Col. a</t>
  </si>
  <si>
    <t xml:space="preserve">Negative of AH-3; Sum Lines 27, 39; Col. a   </t>
  </si>
  <si>
    <t xml:space="preserve">Negative of AH-3; Sum Lines 31, 33; Col. a </t>
  </si>
  <si>
    <t>AH-3; Line 21; Col. d</t>
  </si>
  <si>
    <t xml:space="preserve">Citizens' Share of the SX-PQ Underground Line Segment  </t>
  </si>
  <si>
    <r>
      <t xml:space="preserve">Appendix XII Cycle 4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</si>
  <si>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>Derivation of Other Adjustments Applicable to Appendix XII Cycle 3</t>
  </si>
  <si>
    <t>Other Cost Adjustments due to Appendix XII Cycle 3 Cost Adjustments Calculation:</t>
  </si>
  <si>
    <t>Page 2; Line 17; Col. C</t>
  </si>
  <si>
    <t>Page 11; Line 45; Col. 5</t>
  </si>
  <si>
    <t xml:space="preserve">Appendix XII Cycle 4 Annual Informational Filing </t>
  </si>
  <si>
    <t>Revised - Appendix XII Cycle 3</t>
  </si>
  <si>
    <t>As Filed - Appendix XII Cycle 3 per ER 21-320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</si>
  <si>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</si>
  <si>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</si>
  <si>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</si>
  <si>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</si>
  <si>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</si>
  <si>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</si>
  <si>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</si>
  <si>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</si>
  <si>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Rate Effective Period January 1, 2021 to December 31, 2021</t>
  </si>
  <si>
    <t>Section 1; Page 1; Line 17</t>
  </si>
  <si>
    <t>Section 2; Page 1; Line 25</t>
  </si>
  <si>
    <t>Section 3; Page 1; Line 31</t>
  </si>
  <si>
    <t>Sum Lines 1, 3, 5</t>
  </si>
  <si>
    <t>Section 4; Page TU; Col. 11; Line 21</t>
  </si>
  <si>
    <t>Section 5; Page Interest TU (CY); Col. 6; Line 20</t>
  </si>
  <si>
    <t>Sum Lines 7, 9, 11</t>
  </si>
  <si>
    <t>Line 13 + Line 15</t>
  </si>
  <si>
    <t>Base Period &amp; True-Up Period 12 - Months Ending December 31, 2019</t>
  </si>
  <si>
    <t>AV-4; Line 6</t>
  </si>
  <si>
    <t>Statement AH; Line 18</t>
  </si>
  <si>
    <t>Line 4 / Line 1</t>
  </si>
  <si>
    <t>Statement AH; Line 41</t>
  </si>
  <si>
    <t>Line 9 / Line 1</t>
  </si>
  <si>
    <t>Statement AK; Line 17</t>
  </si>
  <si>
    <t>Line 14 / Line 1</t>
  </si>
  <si>
    <t>Statement AK; Line 28</t>
  </si>
  <si>
    <t>Line 19 / Line 1</t>
  </si>
  <si>
    <t>Statement AL; Line 5</t>
  </si>
  <si>
    <t>Statement AL; Line 9</t>
  </si>
  <si>
    <t>Statement AL; Line 19</t>
  </si>
  <si>
    <t>Sum Lines 25 thru 27</t>
  </si>
  <si>
    <t>Statement AV2; Line 31</t>
  </si>
  <si>
    <t>Line 28 x Line 30</t>
  </si>
  <si>
    <t>Line 32 / Line 1</t>
  </si>
  <si>
    <t>AV-4; Line 4</t>
  </si>
  <si>
    <t>AV-4; Line 5</t>
  </si>
  <si>
    <t>Line 37 + Line 39</t>
  </si>
  <si>
    <t>Line 30</t>
  </si>
  <si>
    <t>Line 41 * Line 43</t>
  </si>
  <si>
    <t>Statement AJ; Line 17</t>
  </si>
  <si>
    <t>Line 45 + Line 47</t>
  </si>
  <si>
    <t>Line 49 / Line 1</t>
  </si>
  <si>
    <t>True-Up Period - June 1, 2019 to December 31, 2019</t>
  </si>
  <si>
    <t>AH-1; Line 48</t>
  </si>
  <si>
    <t>AH-2; Line 37; Col. a</t>
  </si>
  <si>
    <t>Negative of AH-2; Line 42; Col. b</t>
  </si>
  <si>
    <t>Negative of AH-2; Line 43; Col. b</t>
  </si>
  <si>
    <t>Negative of AH-2; Line 44; Col. b</t>
  </si>
  <si>
    <t>Negative of AH-2; Line 45; Col. b</t>
  </si>
  <si>
    <t>Negative of AH-2; Line 46; Col. b</t>
  </si>
  <si>
    <t>Negative of AH-2; Line 52; Col. b</t>
  </si>
  <si>
    <t>Negative of AH-2; Line 53; Col. b</t>
  </si>
  <si>
    <t>Negative of AH-2; Line 54; Col. b</t>
  </si>
  <si>
    <t>Negative of AH-2; Line 55; Col. b</t>
  </si>
  <si>
    <t>Sum Lines 5 thru 17</t>
  </si>
  <si>
    <t>AH-3; Line 21; Col. a</t>
  </si>
  <si>
    <t>Sum Lines 21 thru 34</t>
  </si>
  <si>
    <t>Negative of AH-3; Line 6; Col. c</t>
  </si>
  <si>
    <t>Line 35 + Line 36</t>
  </si>
  <si>
    <t>Statement AI; Line 17</t>
  </si>
  <si>
    <t>Line 37 x Line 38</t>
  </si>
  <si>
    <t>Negative of Line 36 x Line 60</t>
  </si>
  <si>
    <t>Line 39 + Line 40</t>
  </si>
  <si>
    <t>Statement AD; Line 25</t>
  </si>
  <si>
    <t>Statement AD; Line 29</t>
  </si>
  <si>
    <t>Statement AD; Line 31</t>
  </si>
  <si>
    <t>Sum Lines 44 thru 47</t>
  </si>
  <si>
    <t>Line 44 Above</t>
  </si>
  <si>
    <t>Statement AD; Line 1</t>
  </si>
  <si>
    <t>Statement AD; Line 7</t>
  </si>
  <si>
    <t>Statement AD; Line 9</t>
  </si>
  <si>
    <t>Statement AD; Line 17</t>
  </si>
  <si>
    <t>Statement AD; Line 19</t>
  </si>
  <si>
    <t>Sum Lines 50 thru 57</t>
  </si>
  <si>
    <t>Line 48 / Line 58</t>
  </si>
  <si>
    <t xml:space="preserve"> 12 Months Ending December 31, 2019</t>
  </si>
  <si>
    <t>AL-1; Line 18</t>
  </si>
  <si>
    <t>Statement AD; Line 35</t>
  </si>
  <si>
    <t>Line 1 x Line 3</t>
  </si>
  <si>
    <t>AL-2; Line 18</t>
  </si>
  <si>
    <t>Line 3 x Line 7</t>
  </si>
  <si>
    <t>Negative of Statement AH; Line 25</t>
  </si>
  <si>
    <t>Sum Lines 12 thru 14</t>
  </si>
  <si>
    <t>Line 15 x Line 17</t>
  </si>
  <si>
    <t>Negative of Statement AR; Line 11</t>
  </si>
  <si>
    <t>AV-2A; Line 40</t>
  </si>
  <si>
    <t>AV-4; Page 1; Line 26</t>
  </si>
  <si>
    <t>Statement AD; Line 11</t>
  </si>
  <si>
    <t>Statement AD; Line 27</t>
  </si>
  <si>
    <t>Sum Lines 2 thru 5</t>
  </si>
  <si>
    <t>Statement AE; Line 1</t>
  </si>
  <si>
    <t>Statement AE; Line 11</t>
  </si>
  <si>
    <t>Statement AE; Line 13</t>
  </si>
  <si>
    <t>Statement AE; Line 15</t>
  </si>
  <si>
    <t>Sum Lines 9 thru 12</t>
  </si>
  <si>
    <t>Page 2; Line 16</t>
  </si>
  <si>
    <t>Page 2; Line 17</t>
  </si>
  <si>
    <t>Page 2; Line 18</t>
  </si>
  <si>
    <t>Page 2; Line 19</t>
  </si>
  <si>
    <t>Statement AG; Line 1</t>
  </si>
  <si>
    <t>Statement Misc.; Line 3</t>
  </si>
  <si>
    <t>Line 9 + Line 10</t>
  </si>
  <si>
    <t>Statement AF; Line 7</t>
  </si>
  <si>
    <t>Statement AF; Line 11</t>
  </si>
  <si>
    <t>Line 14 + Line 15</t>
  </si>
  <si>
    <t>Sum Lines 19 thru 21</t>
  </si>
  <si>
    <t>Statement Misc.; Line 5</t>
  </si>
  <si>
    <t>Sum Lines 6, 11, 16, 22, 24</t>
  </si>
  <si>
    <t>Line 29 + Line 30</t>
  </si>
  <si>
    <t>Line 34 + Line 35</t>
  </si>
  <si>
    <t>Derivation of Interest Expense on Other Adjustments Applicable to Appendix XII Cycle 3</t>
  </si>
  <si>
    <t>Month True-Up Cost of Service comprises Sections 1 thru 3 Direct Maintenance, Non-Direct Expense, and Other Specific Expenses Cost Components.</t>
  </si>
  <si>
    <t>Used to allocate property insurance in conformance with the TO5 Formula Rate Mechanism.</t>
  </si>
  <si>
    <t>This amount represents the Direct Maintenance and Non-Direct O&amp;M expenses billed to Citizens in 2019, which is added back to derive Total Adjusted Electric</t>
  </si>
  <si>
    <t>This amount represents the Non-Direct A&amp;G expenses billed to Citizens in 2019, which is added back to derive Total Adjusted A&amp;G Expenses in SAP</t>
  </si>
  <si>
    <t>Page 3 and Page 4, Line 1</t>
  </si>
  <si>
    <t>Page 3 and Page 4, Line 3</t>
  </si>
  <si>
    <t>Page 3 and Page 4, Line 5</t>
  </si>
  <si>
    <t>Page 3 and Page 4, Line 9</t>
  </si>
  <si>
    <t>Page 3 and Page 4, Line 11</t>
  </si>
  <si>
    <t>Page 3 and Page 4, Line 15</t>
  </si>
  <si>
    <t>Page 3 and Page 4, Line 20</t>
  </si>
  <si>
    <t>Page 3 and Page 4, Line 22</t>
  </si>
  <si>
    <t>Page 3 and Page 4, Line 24</t>
  </si>
  <si>
    <t>Page 3 and Page 4, Line 28</t>
  </si>
  <si>
    <t>Page 3 and Page 4, Line 30</t>
  </si>
  <si>
    <t>Page 3 and Page 4, Line 32</t>
  </si>
  <si>
    <t>Page 3 and Page 4, Line 38</t>
  </si>
  <si>
    <t>Represents 2019 Wildfire Mitigation Plan expenses that were not excluded in the 2019 A&amp;G exclusions. These are being corrected here and reflected as an "Other Adjustments" in Appendix XII Cycle 4.</t>
  </si>
  <si>
    <t>Represents reclassification of 2019 3P (People, Process, Priorities) project costs from O&amp;M FERC account 566 and 588 to A&amp;G FERC account 923, in 2020.</t>
  </si>
  <si>
    <t xml:space="preserve">In this Appendix XII Cycle 4  Informational Filing, SDG&amp;E is correcting Appendix XII Cycle 3 for approximately ($23K) for 2019 adjustments to O&amp;M and A&amp;G. </t>
  </si>
  <si>
    <t>Represents reclassification of 2019 3P (People, Process, Priorities) project costs from O&amp;M FERC account 566 to A&amp;G FERC account 923, in 2020. This correction is reflected as an</t>
  </si>
  <si>
    <t>"Other Adjustments" in Appendix XII Cycle 4.</t>
  </si>
  <si>
    <t>Represents 2019 abandoned project costs that were not included as excluded expenses in 2019. A portion was reclassified from A&amp;G FERC Account 930.2 to FERC account 426.5,  in 2020.</t>
  </si>
  <si>
    <t>This correction is reflected as an "Other Adjustments" in Appendix XII Cycle 4.</t>
  </si>
  <si>
    <t>This correction is reflected as an "Other Adjustments" in Appendix XII  Cycle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</si>
</sst>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  <numFmt numFmtId="167" formatCode="0.00000%"/>
    <numFmt numFmtId="168" formatCode="#,##0.0_);\(#,##0.0\)"/>
    <numFmt numFmtId="169" formatCode="0.0000%"/>
    <numFmt numFmtId="170" formatCode="0.000000"/>
    <numFmt numFmtId="171" formatCode="_(&quot;$&quot;* #,##0.000_);_(&quot;$&quot;* \(#,##0.000\);_(&quot;$&quot;* &quot;-&quot;??_);_(@_)"/>
    <numFmt numFmtId="172" formatCode="_(* #,##0.000_);_(* \(#,##0.000\);_(* &quot;-&quot;??_);_(@_)"/>
    <numFmt numFmtId="173" formatCode="0_);\(0\)"/>
    <numFmt numFmtId="174" formatCode="&quot;$&quot;#,##0"/>
    <numFmt numFmtId="175" formatCode="0.0%"/>
    <numFmt numFmtId="176" formatCode="_(&quot;$&quot;* #,##0,_);_(&quot;$&quot;* \(#,##0,\);_(&quot;$&quot;* &quot;-&quot;??_);_(@_)"/>
    <numFmt numFmtId="177" formatCode="&quot;$&quot;#,##0,_);[Red]\(&quot;$&quot;#,##0,\)"/>
    <numFmt numFmtId="178" formatCode="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i/>
      <sz val="12"/>
      <name val="Times New Roman"/>
      <family val="1"/>
    </font>
    <font>
      <b/>
      <i/>
      <u/>
      <sz val="12"/>
      <name val="Times New Roman"/>
      <family val="1"/>
    </font>
    <font>
      <sz val="12"/>
      <color rgb="FF0000FF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3"/>
      <name val="Times New Roman"/>
      <family val="1"/>
    </font>
    <font>
      <vertAlign val="superscript"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8" fillId="0" borderId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</cellStyleXfs>
  <cellXfs count="824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1" xfId="6" applyNumberFormat="1" applyFont="1" applyBorder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4" applyFont="1"/>
    <xf numFmtId="0" fontId="9" fillId="0" borderId="0" xfId="0" applyFont="1"/>
    <xf numFmtId="0" fontId="9" fillId="0" borderId="11" xfId="0" applyFont="1" applyBorder="1"/>
    <xf numFmtId="37" fontId="9" fillId="0" borderId="0" xfId="0" applyNumberFormat="1" applyFont="1"/>
    <xf numFmtId="164" fontId="9" fillId="0" borderId="0" xfId="0" applyNumberFormat="1" applyFont="1"/>
    <xf numFmtId="168" fontId="5" fillId="0" borderId="0" xfId="0" applyNumberFormat="1" applyFont="1" applyAlignment="1">
      <alignment horizontal="center" wrapText="1"/>
    </xf>
    <xf numFmtId="0" fontId="5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64" fontId="9" fillId="0" borderId="0" xfId="2" applyNumberFormat="1" applyFont="1"/>
    <xf numFmtId="165" fontId="9" fillId="0" borderId="0" xfId="1" applyNumberFormat="1" applyFont="1"/>
    <xf numFmtId="0" fontId="20" fillId="0" borderId="0" xfId="0" applyFont="1" applyAlignment="1">
      <alignment horizontal="left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164" fontId="5" fillId="0" borderId="0" xfId="2" applyNumberFormat="1" applyFont="1" applyFill="1" applyBorder="1"/>
    <xf numFmtId="164" fontId="9" fillId="0" borderId="0" xfId="2" applyNumberFormat="1" applyFont="1" applyFill="1" applyBorder="1"/>
    <xf numFmtId="164" fontId="5" fillId="0" borderId="2" xfId="2" applyNumberFormat="1" applyFont="1" applyFill="1" applyBorder="1"/>
    <xf numFmtId="165" fontId="9" fillId="2" borderId="1" xfId="1" applyNumberFormat="1" applyFont="1" applyFill="1" applyBorder="1" applyAlignment="1">
      <alignment horizontal="right" vertical="center"/>
    </xf>
    <xf numFmtId="0" fontId="9" fillId="0" borderId="0" xfId="2" applyNumberFormat="1" applyFont="1" applyAlignment="1">
      <alignment horizontal="center" vertical="center"/>
    </xf>
    <xf numFmtId="164" fontId="9" fillId="2" borderId="0" xfId="2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vertical="center"/>
    </xf>
    <xf numFmtId="165" fontId="9" fillId="0" borderId="0" xfId="1" applyNumberFormat="1" applyFont="1" applyFill="1" applyAlignment="1">
      <alignment horizontal="right"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9" fillId="3" borderId="0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Border="1" applyAlignment="1" applyProtection="1">
      <alignment vertical="center"/>
      <protection locked="0"/>
    </xf>
    <xf numFmtId="165" fontId="9" fillId="3" borderId="0" xfId="1" applyNumberFormat="1" applyFont="1" applyFill="1" applyBorder="1" applyAlignment="1">
      <alignment vertical="center"/>
    </xf>
    <xf numFmtId="164" fontId="5" fillId="0" borderId="22" xfId="2" applyNumberFormat="1" applyFont="1" applyBorder="1" applyAlignment="1">
      <alignment vertical="center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4" fontId="5" fillId="0" borderId="22" xfId="2" applyNumberFormat="1" applyFont="1" applyBorder="1" applyAlignment="1">
      <alignment horizontal="right" vertical="center"/>
    </xf>
    <xf numFmtId="164" fontId="5" fillId="0" borderId="2" xfId="2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164" fontId="9" fillId="0" borderId="20" xfId="2" applyNumberFormat="1" applyFont="1" applyBorder="1" applyAlignment="1">
      <alignment horizontal="right" vertical="center"/>
    </xf>
    <xf numFmtId="164" fontId="9" fillId="0" borderId="0" xfId="2" applyNumberFormat="1" applyFont="1" applyFill="1" applyAlignment="1">
      <alignment vertical="center"/>
    </xf>
    <xf numFmtId="5" fontId="9" fillId="0" borderId="0" xfId="11" applyNumberFormat="1" applyFont="1" applyAlignment="1">
      <alignment horizontal="center" vertical="center"/>
    </xf>
    <xf numFmtId="164" fontId="9" fillId="0" borderId="20" xfId="2" applyNumberFormat="1" applyFont="1" applyBorder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10" fontId="9" fillId="0" borderId="2" xfId="2" applyNumberFormat="1" applyFont="1" applyBorder="1" applyAlignment="1">
      <alignment horizontal="right" vertical="center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19" fillId="0" borderId="1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49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65" fontId="9" fillId="0" borderId="0" xfId="1" quotePrefix="1" applyNumberFormat="1" applyFont="1" applyBorder="1" applyAlignment="1">
      <alignment horizontal="centerContinuous" vertical="center"/>
    </xf>
    <xf numFmtId="49" fontId="5" fillId="0" borderId="23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2" xfId="0" quotePrefix="1" applyFont="1" applyBorder="1" applyAlignment="1">
      <alignment horizontal="center" vertical="center"/>
    </xf>
    <xf numFmtId="165" fontId="5" fillId="0" borderId="12" xfId="1" quotePrefix="1" applyNumberFormat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49" fontId="5" fillId="0" borderId="2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49" fontId="9" fillId="0" borderId="25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38" fontId="5" fillId="0" borderId="16" xfId="1" applyNumberFormat="1" applyFont="1" applyBorder="1" applyAlignment="1">
      <alignment vertical="center"/>
    </xf>
    <xf numFmtId="38" fontId="5" fillId="0" borderId="0" xfId="1" applyNumberFormat="1" applyFont="1" applyBorder="1" applyAlignment="1">
      <alignment vertical="center"/>
    </xf>
    <xf numFmtId="38" fontId="5" fillId="0" borderId="11" xfId="1" applyNumberFormat="1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164" fontId="9" fillId="0" borderId="16" xfId="2" applyNumberFormat="1" applyFont="1" applyFill="1" applyBorder="1" applyAlignment="1">
      <alignment vertical="center"/>
    </xf>
    <xf numFmtId="164" fontId="9" fillId="0" borderId="26" xfId="2" applyNumberFormat="1" applyFont="1" applyFill="1" applyBorder="1" applyAlignment="1">
      <alignment vertical="center"/>
    </xf>
    <xf numFmtId="38" fontId="9" fillId="0" borderId="11" xfId="1" applyNumberFormat="1" applyFont="1" applyBorder="1" applyAlignment="1">
      <alignment horizontal="center" vertical="center"/>
    </xf>
    <xf numFmtId="165" fontId="9" fillId="0" borderId="16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5" fontId="9" fillId="0" borderId="26" xfId="1" applyNumberFormat="1" applyFont="1" applyFill="1" applyBorder="1" applyAlignment="1">
      <alignment vertical="center"/>
    </xf>
    <xf numFmtId="165" fontId="9" fillId="0" borderId="17" xfId="1" applyNumberFormat="1" applyFont="1" applyFill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165" fontId="5" fillId="0" borderId="16" xfId="1" applyNumberFormat="1" applyFont="1" applyFill="1" applyBorder="1" applyAlignment="1">
      <alignment vertical="center"/>
    </xf>
    <xf numFmtId="49" fontId="9" fillId="0" borderId="30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4" fontId="9" fillId="0" borderId="9" xfId="2" applyNumberFormat="1" applyFont="1" applyFill="1" applyBorder="1" applyAlignment="1">
      <alignment vertical="center"/>
    </xf>
    <xf numFmtId="164" fontId="9" fillId="0" borderId="3" xfId="2" applyNumberFormat="1" applyFont="1" applyFill="1" applyBorder="1" applyAlignment="1">
      <alignment vertical="center"/>
    </xf>
    <xf numFmtId="0" fontId="19" fillId="0" borderId="31" xfId="0" applyFont="1" applyBorder="1" applyAlignment="1">
      <alignment horizontal="center"/>
    </xf>
    <xf numFmtId="164" fontId="5" fillId="0" borderId="32" xfId="2" applyNumberFormat="1" applyFont="1" applyFill="1" applyBorder="1" applyAlignment="1">
      <alignment vertical="center"/>
    </xf>
    <xf numFmtId="38" fontId="9" fillId="0" borderId="8" xfId="1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166" fontId="9" fillId="0" borderId="16" xfId="1" applyNumberFormat="1" applyFont="1" applyFill="1" applyBorder="1" applyAlignment="1">
      <alignment vertical="center"/>
    </xf>
    <xf numFmtId="166" fontId="9" fillId="0" borderId="0" xfId="1" applyNumberFormat="1" applyFont="1" applyFill="1" applyBorder="1" applyAlignment="1">
      <alignment vertical="center"/>
    </xf>
    <xf numFmtId="166" fontId="9" fillId="0" borderId="17" xfId="1" applyNumberFormat="1" applyFont="1" applyFill="1" applyBorder="1" applyAlignment="1">
      <alignment vertical="center"/>
    </xf>
    <xf numFmtId="166" fontId="9" fillId="0" borderId="26" xfId="1" applyNumberFormat="1" applyFont="1" applyFill="1" applyBorder="1" applyAlignment="1">
      <alignment vertical="center"/>
    </xf>
    <xf numFmtId="164" fontId="9" fillId="0" borderId="17" xfId="2" applyNumberFormat="1" applyFont="1" applyFill="1" applyBorder="1" applyAlignment="1">
      <alignment vertical="center"/>
    </xf>
    <xf numFmtId="165" fontId="9" fillId="0" borderId="29" xfId="1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4" fontId="5" fillId="0" borderId="29" xfId="2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26" xfId="2" applyNumberFormat="1" applyFont="1" applyFill="1" applyBorder="1" applyAlignment="1">
      <alignment vertical="center"/>
    </xf>
    <xf numFmtId="164" fontId="5" fillId="0" borderId="16" xfId="2" applyNumberFormat="1" applyFont="1" applyFill="1" applyBorder="1" applyAlignment="1">
      <alignment vertical="center"/>
    </xf>
    <xf numFmtId="164" fontId="5" fillId="0" borderId="19" xfId="2" applyNumberFormat="1" applyFont="1" applyFill="1" applyBorder="1" applyAlignment="1">
      <alignment vertical="center"/>
    </xf>
    <xf numFmtId="0" fontId="19" fillId="0" borderId="33" xfId="0" applyFont="1" applyBorder="1" applyAlignment="1">
      <alignment horizontal="center"/>
    </xf>
    <xf numFmtId="164" fontId="5" fillId="0" borderId="34" xfId="2" applyNumberFormat="1" applyFont="1" applyFill="1" applyBorder="1" applyAlignment="1">
      <alignment vertical="center"/>
    </xf>
    <xf numFmtId="49" fontId="9" fillId="0" borderId="30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166" fontId="9" fillId="0" borderId="9" xfId="0" applyNumberFormat="1" applyFont="1" applyBorder="1" applyAlignment="1">
      <alignment vertical="center"/>
    </xf>
    <xf numFmtId="166" fontId="9" fillId="0" borderId="9" xfId="1" applyNumberFormat="1" applyFont="1" applyFill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166" fontId="9" fillId="0" borderId="32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49" fontId="9" fillId="0" borderId="10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vertical="center"/>
    </xf>
    <xf numFmtId="0" fontId="9" fillId="0" borderId="11" xfId="0" applyFont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49" fontId="9" fillId="0" borderId="7" xfId="0" applyNumberFormat="1" applyFont="1" applyBorder="1" applyAlignment="1">
      <alignment horizontal="center" vertical="center"/>
    </xf>
    <xf numFmtId="165" fontId="9" fillId="0" borderId="3" xfId="1" applyNumberFormat="1" applyFont="1" applyBorder="1" applyAlignment="1">
      <alignment vertical="center"/>
    </xf>
    <xf numFmtId="49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37" fontId="9" fillId="0" borderId="3" xfId="0" applyNumberFormat="1" applyFont="1" applyBorder="1" applyAlignment="1">
      <alignment vertical="center"/>
    </xf>
    <xf numFmtId="37" fontId="5" fillId="0" borderId="23" xfId="0" applyNumberFormat="1" applyFont="1" applyBorder="1" applyAlignment="1">
      <alignment horizontal="center" vertical="center"/>
    </xf>
    <xf numFmtId="37" fontId="5" fillId="0" borderId="6" xfId="0" applyNumberFormat="1" applyFont="1" applyBorder="1" applyAlignment="1">
      <alignment vertical="center"/>
    </xf>
    <xf numFmtId="37" fontId="5" fillId="0" borderId="12" xfId="0" quotePrefix="1" applyNumberFormat="1" applyFont="1" applyBorder="1" applyAlignment="1">
      <alignment horizontal="center" vertical="center"/>
    </xf>
    <xf numFmtId="37" fontId="5" fillId="0" borderId="6" xfId="0" quotePrefix="1" applyNumberFormat="1" applyFont="1" applyBorder="1" applyAlignment="1">
      <alignment horizontal="center" vertical="center"/>
    </xf>
    <xf numFmtId="37" fontId="5" fillId="0" borderId="5" xfId="0" quotePrefix="1" applyNumberFormat="1" applyFont="1" applyBorder="1" applyAlignment="1">
      <alignment horizontal="center" vertical="center"/>
    </xf>
    <xf numFmtId="37" fontId="5" fillId="0" borderId="25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16" xfId="16" applyNumberFormat="1" applyFont="1" applyBorder="1" applyAlignment="1">
      <alignment horizontal="center" vertical="center"/>
    </xf>
    <xf numFmtId="37" fontId="5" fillId="0" borderId="0" xfId="16" applyNumberFormat="1" applyFont="1" applyAlignment="1">
      <alignment horizontal="center" vertical="center"/>
    </xf>
    <xf numFmtId="37" fontId="5" fillId="0" borderId="11" xfId="0" quotePrefix="1" applyNumberFormat="1" applyFont="1" applyBorder="1" applyAlignment="1">
      <alignment horizontal="center" vertical="center"/>
    </xf>
    <xf numFmtId="37" fontId="5" fillId="0" borderId="30" xfId="0" applyNumberFormat="1" applyFont="1" applyBorder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37" fontId="5" fillId="0" borderId="9" xfId="16" applyNumberFormat="1" applyFont="1" applyBorder="1" applyAlignment="1">
      <alignment horizontal="center" vertical="center"/>
    </xf>
    <xf numFmtId="37" fontId="5" fillId="0" borderId="3" xfId="16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37" fontId="5" fillId="0" borderId="8" xfId="0" applyNumberFormat="1" applyFont="1" applyBorder="1" applyAlignment="1">
      <alignment horizontal="center" vertical="center"/>
    </xf>
    <xf numFmtId="37" fontId="9" fillId="0" borderId="25" xfId="0" applyNumberFormat="1" applyFont="1" applyBorder="1" applyAlignment="1">
      <alignment horizontal="center" vertical="center"/>
    </xf>
    <xf numFmtId="37" fontId="22" fillId="0" borderId="0" xfId="0" applyNumberFormat="1" applyFont="1" applyAlignment="1">
      <alignment vertical="center"/>
    </xf>
    <xf numFmtId="37" fontId="9" fillId="0" borderId="16" xfId="16" applyNumberFormat="1" applyFont="1" applyBorder="1" applyAlignment="1">
      <alignment horizontal="center" vertical="center"/>
    </xf>
    <xf numFmtId="37" fontId="9" fillId="0" borderId="0" xfId="16" applyNumberFormat="1" applyFont="1" applyAlignment="1">
      <alignment horizontal="center" vertical="center"/>
    </xf>
    <xf numFmtId="37" fontId="9" fillId="0" borderId="12" xfId="16" applyNumberFormat="1" applyFont="1" applyBorder="1" applyAlignment="1">
      <alignment horizontal="center" vertical="center"/>
    </xf>
    <xf numFmtId="37" fontId="9" fillId="0" borderId="11" xfId="16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left" vertical="center"/>
    </xf>
    <xf numFmtId="43" fontId="9" fillId="0" borderId="0" xfId="1" applyFont="1" applyAlignment="1">
      <alignment vertical="center"/>
    </xf>
    <xf numFmtId="39" fontId="9" fillId="0" borderId="0" xfId="0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165" fontId="9" fillId="0" borderId="16" xfId="1" applyNumberFormat="1" applyFont="1" applyFill="1" applyBorder="1" applyAlignment="1">
      <alignment horizontal="right" vertical="center"/>
    </xf>
    <xf numFmtId="165" fontId="5" fillId="0" borderId="26" xfId="1" applyNumberFormat="1" applyFont="1" applyFill="1" applyBorder="1"/>
    <xf numFmtId="168" fontId="9" fillId="0" borderId="25" xfId="0" applyNumberFormat="1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37" fontId="9" fillId="0" borderId="16" xfId="0" applyNumberFormat="1" applyFont="1" applyBorder="1" applyAlignment="1">
      <alignment vertical="center"/>
    </xf>
    <xf numFmtId="37" fontId="9" fillId="0" borderId="11" xfId="0" applyNumberFormat="1" applyFont="1" applyBorder="1" applyAlignment="1">
      <alignment vertical="center"/>
    </xf>
    <xf numFmtId="164" fontId="5" fillId="0" borderId="19" xfId="2" applyNumberFormat="1" applyFont="1" applyBorder="1" applyAlignment="1">
      <alignment vertical="center"/>
    </xf>
    <xf numFmtId="37" fontId="9" fillId="0" borderId="11" xfId="0" applyNumberFormat="1" applyFont="1" applyBorder="1" applyAlignment="1">
      <alignment horizontal="center" vertical="center"/>
    </xf>
    <xf numFmtId="37" fontId="9" fillId="0" borderId="30" xfId="0" applyNumberFormat="1" applyFont="1" applyBorder="1" applyAlignment="1">
      <alignment vertical="center"/>
    </xf>
    <xf numFmtId="37" fontId="9" fillId="0" borderId="9" xfId="1" applyNumberFormat="1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7" fontId="9" fillId="0" borderId="8" xfId="0" applyNumberFormat="1" applyFont="1" applyBorder="1" applyAlignment="1">
      <alignment vertical="center"/>
    </xf>
    <xf numFmtId="37" fontId="18" fillId="0" borderId="10" xfId="0" applyNumberFormat="1" applyFont="1" applyBorder="1" applyAlignment="1">
      <alignment horizontal="left" vertical="center"/>
    </xf>
    <xf numFmtId="37" fontId="9" fillId="0" borderId="10" xfId="11" applyNumberFormat="1" applyFont="1" applyBorder="1" applyAlignment="1">
      <alignment horizontal="center"/>
    </xf>
    <xf numFmtId="37" fontId="9" fillId="0" borderId="0" xfId="0" applyNumberFormat="1" applyFont="1" applyAlignment="1">
      <alignment horizontal="center"/>
    </xf>
    <xf numFmtId="37" fontId="9" fillId="0" borderId="0" xfId="0" applyNumberFormat="1" applyFont="1" applyAlignment="1">
      <alignment vertical="top"/>
    </xf>
    <xf numFmtId="37" fontId="9" fillId="0" borderId="0" xfId="0" applyNumberFormat="1" applyFont="1" applyAlignment="1">
      <alignment horizontal="left" vertical="top"/>
    </xf>
    <xf numFmtId="37" fontId="23" fillId="0" borderId="0" xfId="0" applyNumberFormat="1" applyFont="1"/>
    <xf numFmtId="37" fontId="10" fillId="0" borderId="0" xfId="0" applyNumberFormat="1" applyFont="1" applyAlignment="1">
      <alignment horizontal="right" vertical="center"/>
    </xf>
    <xf numFmtId="37" fontId="9" fillId="0" borderId="10" xfId="11" applyNumberFormat="1" applyFont="1" applyBorder="1" applyAlignment="1">
      <alignment horizontal="center" vertical="top"/>
    </xf>
    <xf numFmtId="168" fontId="9" fillId="0" borderId="10" xfId="11" applyNumberFormat="1" applyFont="1" applyBorder="1" applyAlignment="1">
      <alignment horizontal="center" wrapText="1"/>
    </xf>
    <xf numFmtId="37" fontId="9" fillId="0" borderId="0" xfId="0" applyNumberFormat="1" applyFont="1" applyAlignment="1">
      <alignment wrapText="1"/>
    </xf>
    <xf numFmtId="37" fontId="9" fillId="0" borderId="10" xfId="17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vertical="center" wrapText="1"/>
    </xf>
    <xf numFmtId="37" fontId="9" fillId="0" borderId="10" xfId="0" applyNumberFormat="1" applyFont="1" applyBorder="1" applyAlignment="1">
      <alignment vertical="center"/>
    </xf>
    <xf numFmtId="37" fontId="5" fillId="0" borderId="0" xfId="0" applyNumberFormat="1" applyFont="1" applyAlignment="1">
      <alignment horizontal="left" vertical="center"/>
    </xf>
    <xf numFmtId="164" fontId="5" fillId="0" borderId="0" xfId="2" applyNumberFormat="1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37" fontId="9" fillId="0" borderId="7" xfId="0" applyNumberFormat="1" applyFont="1" applyBorder="1" applyAlignment="1">
      <alignment vertical="center"/>
    </xf>
    <xf numFmtId="37" fontId="9" fillId="0" borderId="3" xfId="0" applyNumberFormat="1" applyFont="1" applyBorder="1" applyAlignment="1">
      <alignment horizontal="left" vertical="center"/>
    </xf>
    <xf numFmtId="168" fontId="9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0" fontId="9" fillId="0" borderId="0" xfId="11" applyFont="1" applyAlignment="1">
      <alignment vertical="center"/>
    </xf>
    <xf numFmtId="0" fontId="12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5" fontId="5" fillId="0" borderId="0" xfId="11" applyNumberFormat="1" applyFont="1" applyAlignment="1" applyProtection="1">
      <alignment horizontal="center" vertical="center"/>
      <protection locked="0"/>
    </xf>
    <xf numFmtId="5" fontId="9" fillId="0" borderId="0" xfId="11" applyNumberFormat="1" applyFont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horizontal="center" vertical="center"/>
      <protection locked="0"/>
    </xf>
    <xf numFmtId="10" fontId="9" fillId="0" borderId="0" xfId="11" applyNumberFormat="1" applyFont="1" applyAlignment="1" applyProtection="1">
      <alignment vertical="center"/>
      <protection locked="0"/>
    </xf>
    <xf numFmtId="10" fontId="9" fillId="0" borderId="0" xfId="11" applyNumberFormat="1" applyFont="1" applyAlignment="1" applyProtection="1">
      <alignment horizontal="center" vertical="center"/>
      <protection locked="0"/>
    </xf>
    <xf numFmtId="0" fontId="20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14" fillId="0" borderId="0" xfId="11" quotePrefix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22" xfId="2" applyNumberFormat="1" applyFont="1" applyBorder="1" applyAlignment="1">
      <alignment vertical="center"/>
    </xf>
    <xf numFmtId="0" fontId="24" fillId="0" borderId="0" xfId="0" applyFont="1" applyAlignment="1">
      <alignment horizontal="center" vertical="center" wrapText="1"/>
    </xf>
    <xf numFmtId="164" fontId="9" fillId="0" borderId="21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2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20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0" fontId="9" fillId="3" borderId="2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20" xfId="0" applyNumberFormat="1" applyFont="1" applyBorder="1" applyAlignment="1">
      <alignment vertical="center"/>
    </xf>
    <xf numFmtId="10" fontId="9" fillId="0" borderId="2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170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169" fontId="9" fillId="0" borderId="0" xfId="3" applyNumberFormat="1" applyFont="1" applyAlignment="1">
      <alignment horizontal="right" vertical="center"/>
    </xf>
    <xf numFmtId="169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70" fontId="9" fillId="0" borderId="0" xfId="0" applyNumberFormat="1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 wrapText="1"/>
    </xf>
    <xf numFmtId="17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9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9" fontId="9" fillId="0" borderId="0" xfId="3" applyNumberFormat="1" applyFont="1" applyBorder="1" applyAlignment="1">
      <alignment horizontal="right" vertical="center"/>
    </xf>
    <xf numFmtId="169" fontId="9" fillId="0" borderId="2" xfId="3" applyNumberFormat="1" applyFont="1" applyBorder="1" applyAlignment="1">
      <alignment horizontal="right" vertical="center"/>
    </xf>
    <xf numFmtId="169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9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9" fontId="9" fillId="0" borderId="2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9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3" xfId="11" applyFont="1" applyBorder="1"/>
    <xf numFmtId="0" fontId="9" fillId="0" borderId="11" xfId="11" applyFont="1" applyBorder="1" applyAlignment="1">
      <alignment horizontal="center" vertical="center"/>
    </xf>
    <xf numFmtId="0" fontId="5" fillId="0" borderId="23" xfId="11" applyFont="1" applyBorder="1" applyAlignment="1">
      <alignment horizontal="center"/>
    </xf>
    <xf numFmtId="0" fontId="5" fillId="0" borderId="12" xfId="11" applyFont="1" applyBorder="1" applyAlignment="1">
      <alignment horizontal="center"/>
    </xf>
    <xf numFmtId="0" fontId="5" fillId="0" borderId="5" xfId="11" applyFont="1" applyBorder="1" applyAlignment="1">
      <alignment horizontal="center"/>
    </xf>
    <xf numFmtId="0" fontId="9" fillId="0" borderId="10" xfId="11" applyFont="1" applyBorder="1" applyAlignment="1">
      <alignment horizontal="center" vertical="center"/>
    </xf>
    <xf numFmtId="0" fontId="5" fillId="0" borderId="27" xfId="11" applyFont="1" applyBorder="1" applyAlignment="1">
      <alignment horizontal="center"/>
    </xf>
    <xf numFmtId="0" fontId="5" fillId="0" borderId="1" xfId="11" applyFont="1" applyBorder="1" applyAlignment="1">
      <alignment horizontal="center"/>
    </xf>
    <xf numFmtId="0" fontId="5" fillId="0" borderId="28" xfId="11" applyFont="1" applyBorder="1"/>
    <xf numFmtId="10" fontId="5" fillId="0" borderId="16" xfId="20" applyNumberFormat="1" applyFont="1" applyBorder="1" applyAlignment="1">
      <alignment horizontal="center"/>
    </xf>
    <xf numFmtId="10" fontId="5" fillId="0" borderId="0" xfId="20" applyNumberFormat="1" applyFont="1" applyFill="1" applyBorder="1" applyAlignment="1">
      <alignment horizontal="center"/>
    </xf>
    <xf numFmtId="10" fontId="5" fillId="0" borderId="0" xfId="20" applyNumberFormat="1" applyFont="1" applyBorder="1" applyAlignment="1">
      <alignment horizontal="center"/>
    </xf>
    <xf numFmtId="0" fontId="9" fillId="0" borderId="26" xfId="11" applyFont="1" applyBorder="1" applyAlignment="1">
      <alignment horizontal="left"/>
    </xf>
    <xf numFmtId="164" fontId="9" fillId="2" borderId="16" xfId="21" applyNumberFormat="1" applyFont="1" applyFill="1" applyBorder="1" applyAlignment="1">
      <alignment horizontal="right" vertical="center"/>
    </xf>
    <xf numFmtId="164" fontId="9" fillId="0" borderId="0" xfId="21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6" xfId="11" applyFont="1" applyBorder="1"/>
    <xf numFmtId="164" fontId="9" fillId="0" borderId="16" xfId="11" applyNumberFormat="1" applyFont="1" applyBorder="1" applyAlignment="1">
      <alignment horizontal="right" vertical="center"/>
    </xf>
    <xf numFmtId="164" fontId="9" fillId="0" borderId="0" xfId="11" applyNumberFormat="1" applyFont="1" applyAlignment="1">
      <alignment horizontal="right" vertical="center"/>
    </xf>
    <xf numFmtId="165" fontId="5" fillId="2" borderId="16" xfId="1" applyNumberFormat="1" applyFont="1" applyFill="1" applyBorder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2" borderId="14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6" xfId="11" applyFont="1" applyBorder="1" applyAlignment="1">
      <alignment horizontal="left" indent="2"/>
    </xf>
    <xf numFmtId="164" fontId="5" fillId="0" borderId="16" xfId="2" applyNumberFormat="1" applyFont="1" applyFill="1" applyBorder="1" applyAlignment="1">
      <alignment horizontal="right" vertical="center"/>
    </xf>
    <xf numFmtId="41" fontId="9" fillId="0" borderId="0" xfId="13" applyNumberFormat="1" applyFont="1" applyFill="1" applyBorder="1" applyAlignment="1">
      <alignment horizontal="center"/>
    </xf>
    <xf numFmtId="0" fontId="5" fillId="0" borderId="26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6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65" fontId="9" fillId="3" borderId="14" xfId="1" applyNumberFormat="1" applyFont="1" applyFill="1" applyBorder="1" applyAlignment="1">
      <alignment vertical="center"/>
    </xf>
    <xf numFmtId="171" fontId="5" fillId="0" borderId="16" xfId="11" applyNumberFormat="1" applyFont="1" applyBorder="1" applyAlignment="1">
      <alignment vertical="center"/>
    </xf>
    <xf numFmtId="171" fontId="5" fillId="0" borderId="0" xfId="11" applyNumberFormat="1" applyFont="1" applyAlignment="1">
      <alignment vertical="center"/>
    </xf>
    <xf numFmtId="164" fontId="5" fillId="0" borderId="19" xfId="21" applyNumberFormat="1" applyFont="1" applyBorder="1" applyAlignment="1">
      <alignment horizontal="right" vertical="center"/>
    </xf>
    <xf numFmtId="9" fontId="9" fillId="0" borderId="0" xfId="3" applyFont="1"/>
    <xf numFmtId="0" fontId="5" fillId="0" borderId="32" xfId="11" applyFont="1" applyBorder="1"/>
    <xf numFmtId="0" fontId="5" fillId="0" borderId="9" xfId="11" applyFont="1" applyBorder="1"/>
    <xf numFmtId="0" fontId="9" fillId="0" borderId="3" xfId="19" applyFont="1" applyBorder="1"/>
    <xf numFmtId="44" fontId="5" fillId="0" borderId="3" xfId="11" applyNumberFormat="1" applyFont="1" applyBorder="1"/>
    <xf numFmtId="0" fontId="5" fillId="0" borderId="26" xfId="11" applyFont="1" applyBorder="1" applyAlignment="1">
      <alignment horizontal="center"/>
    </xf>
    <xf numFmtId="0" fontId="5" fillId="0" borderId="26" xfId="11" applyFont="1" applyBorder="1"/>
    <xf numFmtId="171" fontId="9" fillId="0" borderId="16" xfId="21" applyNumberFormat="1" applyFont="1" applyFill="1" applyBorder="1" applyAlignment="1">
      <alignment horizontal="right"/>
    </xf>
    <xf numFmtId="171" fontId="9" fillId="0" borderId="0" xfId="21" applyNumberFormat="1" applyFont="1" applyFill="1" applyBorder="1" applyAlignment="1">
      <alignment horizontal="right"/>
    </xf>
    <xf numFmtId="171" fontId="9" fillId="0" borderId="16" xfId="11" applyNumberFormat="1" applyFont="1" applyBorder="1" applyAlignment="1">
      <alignment horizontal="right"/>
    </xf>
    <xf numFmtId="171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72" fontId="5" fillId="0" borderId="16" xfId="1" applyNumberFormat="1" applyFont="1" applyFill="1" applyBorder="1" applyAlignment="1">
      <alignment horizontal="right"/>
    </xf>
    <xf numFmtId="165" fontId="9" fillId="0" borderId="16" xfId="1" applyNumberFormat="1" applyFont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2" fontId="9" fillId="0" borderId="14" xfId="1" applyNumberFormat="1" applyFont="1" applyFill="1" applyBorder="1" applyAlignment="1">
      <alignment horizontal="right"/>
    </xf>
    <xf numFmtId="172" fontId="9" fillId="0" borderId="0" xfId="1" applyNumberFormat="1" applyFont="1" applyFill="1" applyBorder="1" applyAlignment="1">
      <alignment horizontal="right"/>
    </xf>
    <xf numFmtId="165" fontId="9" fillId="0" borderId="16" xfId="1" applyNumberFormat="1" applyFont="1" applyFill="1" applyBorder="1" applyAlignment="1">
      <alignment horizontal="right"/>
    </xf>
    <xf numFmtId="171" fontId="5" fillId="0" borderId="16" xfId="2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72" fontId="9" fillId="0" borderId="16" xfId="1" applyNumberFormat="1" applyFont="1" applyFill="1" applyBorder="1" applyAlignment="1">
      <alignment horizontal="right"/>
    </xf>
    <xf numFmtId="165" fontId="9" fillId="0" borderId="16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1" fontId="5" fillId="0" borderId="19" xfId="2" applyNumberFormat="1" applyFont="1" applyFill="1" applyBorder="1"/>
    <xf numFmtId="171" fontId="5" fillId="0" borderId="16" xfId="14" applyNumberFormat="1" applyFont="1" applyBorder="1"/>
    <xf numFmtId="171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3" borderId="14" xfId="22" applyNumberFormat="1" applyFont="1" applyFill="1" applyBorder="1"/>
    <xf numFmtId="165" fontId="9" fillId="0" borderId="0" xfId="22" applyNumberFormat="1" applyFont="1" applyFill="1" applyBorder="1"/>
    <xf numFmtId="165" fontId="5" fillId="0" borderId="0" xfId="14" applyNumberFormat="1" applyFont="1" applyFill="1" applyBorder="1"/>
    <xf numFmtId="164" fontId="5" fillId="0" borderId="19" xfId="21" applyNumberFormat="1" applyFont="1" applyBorder="1" applyAlignment="1">
      <alignment horizontal="right"/>
    </xf>
    <xf numFmtId="165" fontId="5" fillId="0" borderId="9" xfId="14" applyNumberFormat="1" applyFont="1" applyBorder="1"/>
    <xf numFmtId="165" fontId="5" fillId="0" borderId="3" xfId="14" applyNumberFormat="1" applyFont="1" applyFill="1" applyBorder="1"/>
    <xf numFmtId="0" fontId="5" fillId="0" borderId="3" xfId="11" applyFont="1" applyBorder="1" applyAlignment="1">
      <alignment horizontal="center"/>
    </xf>
    <xf numFmtId="0" fontId="5" fillId="0" borderId="24" xfId="11" applyFont="1" applyBorder="1" applyAlignment="1">
      <alignment horizontal="center"/>
    </xf>
    <xf numFmtId="0" fontId="5" fillId="0" borderId="13" xfId="11" applyFont="1" applyBorder="1" applyAlignment="1">
      <alignment horizontal="center"/>
    </xf>
    <xf numFmtId="0" fontId="5" fillId="0" borderId="15" xfId="11" applyFont="1" applyBorder="1" applyAlignment="1">
      <alignment horizontal="center"/>
    </xf>
    <xf numFmtId="10" fontId="5" fillId="0" borderId="26" xfId="20" applyNumberFormat="1" applyFont="1" applyBorder="1" applyAlignment="1">
      <alignment horizontal="center"/>
    </xf>
    <xf numFmtId="10" fontId="5" fillId="0" borderId="17" xfId="20" applyNumberFormat="1" applyFont="1" applyBorder="1" applyAlignment="1">
      <alignment horizontal="center"/>
    </xf>
    <xf numFmtId="164" fontId="9" fillId="2" borderId="26" xfId="21" applyNumberFormat="1" applyFont="1" applyFill="1" applyBorder="1" applyAlignment="1">
      <alignment horizontal="right" vertical="center"/>
    </xf>
    <xf numFmtId="41" fontId="9" fillId="0" borderId="17" xfId="13" applyNumberFormat="1" applyFont="1" applyBorder="1" applyAlignment="1">
      <alignment horizontal="center"/>
    </xf>
    <xf numFmtId="164" fontId="9" fillId="0" borderId="26" xfId="11" applyNumberFormat="1" applyFont="1" applyBorder="1" applyAlignment="1">
      <alignment horizontal="right" vertical="center"/>
    </xf>
    <xf numFmtId="0" fontId="5" fillId="0" borderId="17" xfId="11" applyFont="1" applyBorder="1" applyAlignment="1">
      <alignment horizontal="center"/>
    </xf>
    <xf numFmtId="165" fontId="9" fillId="2" borderId="26" xfId="1" applyNumberFormat="1" applyFont="1" applyFill="1" applyBorder="1" applyAlignment="1">
      <alignment horizontal="right" vertical="center"/>
    </xf>
    <xf numFmtId="43" fontId="5" fillId="0" borderId="17" xfId="11" applyNumberFormat="1" applyFont="1" applyBorder="1" applyAlignment="1">
      <alignment horizontal="center"/>
    </xf>
    <xf numFmtId="164" fontId="9" fillId="0" borderId="16" xfId="2" applyNumberFormat="1" applyFont="1" applyFill="1" applyBorder="1" applyAlignment="1">
      <alignment horizontal="right" vertical="center"/>
    </xf>
    <xf numFmtId="41" fontId="5" fillId="0" borderId="17" xfId="13" applyNumberFormat="1" applyFont="1" applyBorder="1" applyAlignment="1">
      <alignment horizontal="left"/>
    </xf>
    <xf numFmtId="165" fontId="9" fillId="2" borderId="16" xfId="1" applyNumberFormat="1" applyFont="1" applyFill="1" applyBorder="1" applyAlignment="1">
      <alignment horizontal="right" vertical="center"/>
    </xf>
    <xf numFmtId="41" fontId="5" fillId="0" borderId="17" xfId="13" applyNumberFormat="1" applyFont="1" applyFill="1" applyBorder="1" applyAlignment="1">
      <alignment horizontal="left"/>
    </xf>
    <xf numFmtId="41" fontId="9" fillId="0" borderId="17" xfId="13" applyNumberFormat="1" applyFont="1" applyFill="1" applyBorder="1" applyAlignment="1">
      <alignment horizontal="center"/>
    </xf>
    <xf numFmtId="0" fontId="5" fillId="0" borderId="31" xfId="11" applyFont="1" applyBorder="1"/>
    <xf numFmtId="171" fontId="9" fillId="0" borderId="26" xfId="21" applyNumberFormat="1" applyFont="1" applyFill="1" applyBorder="1" applyAlignment="1">
      <alignment horizontal="right"/>
    </xf>
    <xf numFmtId="171" fontId="9" fillId="0" borderId="26" xfId="11" applyNumberFormat="1" applyFont="1" applyBorder="1" applyAlignment="1">
      <alignment horizontal="right"/>
    </xf>
    <xf numFmtId="0" fontId="9" fillId="0" borderId="17" xfId="11" applyFont="1" applyBorder="1" applyAlignment="1">
      <alignment horizontal="center"/>
    </xf>
    <xf numFmtId="172" fontId="9" fillId="0" borderId="26" xfId="1" applyNumberFormat="1" applyFont="1" applyFill="1" applyBorder="1" applyAlignment="1">
      <alignment horizontal="right"/>
    </xf>
    <xf numFmtId="165" fontId="9" fillId="0" borderId="26" xfId="1" applyNumberFormat="1" applyFont="1" applyBorder="1" applyAlignment="1">
      <alignment horizontal="right"/>
    </xf>
    <xf numFmtId="43" fontId="9" fillId="0" borderId="17" xfId="11" applyNumberFormat="1" applyFont="1" applyBorder="1" applyAlignment="1">
      <alignment horizontal="center"/>
    </xf>
    <xf numFmtId="165" fontId="9" fillId="0" borderId="26" xfId="1" applyNumberFormat="1" applyFont="1" applyFill="1" applyBorder="1" applyAlignment="1">
      <alignment horizontal="right"/>
    </xf>
    <xf numFmtId="171" fontId="9" fillId="0" borderId="26" xfId="2" applyNumberFormat="1" applyFont="1" applyFill="1" applyBorder="1" applyAlignment="1">
      <alignment horizontal="right"/>
    </xf>
    <xf numFmtId="41" fontId="5" fillId="0" borderId="17" xfId="13" applyNumberFormat="1" applyFont="1" applyBorder="1" applyAlignment="1">
      <alignment horizontal="center"/>
    </xf>
    <xf numFmtId="41" fontId="5" fillId="0" borderId="17" xfId="13" applyNumberFormat="1" applyFont="1" applyFill="1" applyBorder="1" applyAlignment="1">
      <alignment horizontal="center"/>
    </xf>
    <xf numFmtId="41" fontId="5" fillId="0" borderId="17" xfId="13" applyNumberFormat="1" applyFont="1" applyFill="1" applyBorder="1"/>
    <xf numFmtId="165" fontId="5" fillId="0" borderId="17" xfId="14" applyNumberFormat="1" applyFont="1" applyFill="1" applyBorder="1"/>
    <xf numFmtId="164" fontId="9" fillId="0" borderId="19" xfId="21" applyNumberFormat="1" applyFont="1" applyBorder="1" applyAlignment="1">
      <alignment horizontal="right"/>
    </xf>
    <xf numFmtId="0" fontId="5" fillId="0" borderId="31" xfId="11" applyFont="1" applyBorder="1" applyAlignment="1">
      <alignment horizontal="center"/>
    </xf>
    <xf numFmtId="0" fontId="5" fillId="0" borderId="0" xfId="11" applyFont="1" applyBorder="1"/>
    <xf numFmtId="0" fontId="5" fillId="0" borderId="0" xfId="11" applyFont="1" applyBorder="1" applyAlignment="1">
      <alignment horizontal="center"/>
    </xf>
    <xf numFmtId="168" fontId="5" fillId="0" borderId="0" xfId="0" applyNumberFormat="1" applyFont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right" vertical="center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1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5" fontId="9" fillId="3" borderId="1" xfId="1" applyNumberFormat="1" applyFont="1" applyFill="1" applyBorder="1" applyAlignment="1">
      <alignment vertical="center"/>
    </xf>
    <xf numFmtId="165" fontId="5" fillId="0" borderId="0" xfId="0" applyNumberFormat="1" applyFont="1" applyAlignment="1">
      <alignment horizontal="center"/>
    </xf>
    <xf numFmtId="164" fontId="9" fillId="0" borderId="0" xfId="21" applyNumberFormat="1" applyFont="1" applyBorder="1" applyAlignment="1">
      <alignment horizontal="right" vertical="center"/>
    </xf>
    <xf numFmtId="164" fontId="9" fillId="0" borderId="2" xfId="21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/>
    </xf>
    <xf numFmtId="0" fontId="0" fillId="0" borderId="3" xfId="0" applyBorder="1"/>
    <xf numFmtId="0" fontId="16" fillId="0" borderId="3" xfId="0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5" fillId="0" borderId="22" xfId="11" applyFont="1" applyBorder="1"/>
    <xf numFmtId="0" fontId="9" fillId="0" borderId="0" xfId="11" applyFont="1" applyBorder="1" applyAlignment="1">
      <alignment horizontal="left"/>
    </xf>
    <xf numFmtId="0" fontId="9" fillId="0" borderId="0" xfId="11" applyFont="1" applyBorder="1"/>
    <xf numFmtId="0" fontId="5" fillId="0" borderId="0" xfId="11" applyFont="1" applyBorder="1" applyAlignment="1">
      <alignment horizontal="left" indent="2"/>
    </xf>
    <xf numFmtId="0" fontId="5" fillId="0" borderId="0" xfId="11" applyFont="1" applyBorder="1" applyAlignment="1">
      <alignment horizontal="left"/>
    </xf>
    <xf numFmtId="0" fontId="5" fillId="0" borderId="0" xfId="11" applyFont="1" applyBorder="1" applyAlignment="1">
      <alignment horizontal="center" vertical="center" wrapText="1"/>
    </xf>
    <xf numFmtId="164" fontId="9" fillId="0" borderId="0" xfId="11" applyNumberFormat="1" applyFont="1" applyBorder="1" applyAlignment="1">
      <alignment horizontal="right" vertical="center"/>
    </xf>
    <xf numFmtId="165" fontId="5" fillId="2" borderId="0" xfId="1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9" fillId="0" borderId="0" xfId="11" applyNumberFormat="1" applyFont="1" applyBorder="1" applyAlignment="1">
      <alignment vertical="center"/>
    </xf>
    <xf numFmtId="171" fontId="5" fillId="0" borderId="0" xfId="11" applyNumberFormat="1" applyFont="1" applyBorder="1" applyAlignment="1">
      <alignment vertical="center"/>
    </xf>
    <xf numFmtId="164" fontId="5" fillId="0" borderId="2" xfId="21" applyNumberFormat="1" applyFont="1" applyBorder="1" applyAlignment="1">
      <alignment horizontal="right" vertical="center"/>
    </xf>
    <xf numFmtId="0" fontId="5" fillId="0" borderId="36" xfId="11" applyFont="1" applyBorder="1"/>
    <xf numFmtId="168" fontId="5" fillId="0" borderId="0" xfId="11" applyNumberFormat="1" applyFont="1" applyAlignment="1">
      <alignment horizontal="center" wrapText="1"/>
    </xf>
    <xf numFmtId="0" fontId="5" fillId="0" borderId="0" xfId="11" applyFont="1" applyBorder="1" applyAlignment="1">
      <alignment horizontal="center" wrapText="1"/>
    </xf>
    <xf numFmtId="171" fontId="9" fillId="0" borderId="0" xfId="11" applyNumberFormat="1" applyFont="1" applyBorder="1" applyAlignment="1">
      <alignment horizontal="right"/>
    </xf>
    <xf numFmtId="172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1" fontId="5" fillId="0" borderId="0" xfId="2" applyNumberFormat="1" applyFont="1" applyFill="1" applyBorder="1" applyAlignment="1">
      <alignment horizontal="right"/>
    </xf>
    <xf numFmtId="171" fontId="5" fillId="0" borderId="0" xfId="2" applyNumberFormat="1" applyFont="1" applyFill="1" applyBorder="1"/>
    <xf numFmtId="171" fontId="5" fillId="0" borderId="0" xfId="14" applyNumberFormat="1" applyFont="1" applyBorder="1"/>
    <xf numFmtId="172" fontId="9" fillId="0" borderId="0" xfId="1" applyNumberFormat="1" applyFont="1" applyAlignment="1">
      <alignment horizontal="right"/>
    </xf>
    <xf numFmtId="172" fontId="9" fillId="0" borderId="1" xfId="1" applyNumberFormat="1" applyFont="1" applyFill="1" applyBorder="1" applyAlignment="1">
      <alignment horizontal="right"/>
    </xf>
    <xf numFmtId="172" fontId="9" fillId="0" borderId="0" xfId="1" applyNumberFormat="1" applyFont="1" applyAlignment="1">
      <alignment horizontal="center"/>
    </xf>
    <xf numFmtId="171" fontId="9" fillId="0" borderId="0" xfId="2" applyNumberFormat="1" applyFont="1" applyFill="1" applyBorder="1"/>
    <xf numFmtId="171" fontId="9" fillId="0" borderId="0" xfId="2" applyNumberFormat="1" applyFont="1" applyFill="1" applyBorder="1" applyAlignment="1">
      <alignment horizontal="right"/>
    </xf>
    <xf numFmtId="165" fontId="5" fillId="0" borderId="3" xfId="14" applyNumberFormat="1" applyFont="1" applyBorder="1"/>
    <xf numFmtId="164" fontId="5" fillId="0" borderId="2" xfId="21" applyNumberFormat="1" applyFont="1" applyBorder="1" applyAlignment="1">
      <alignment horizontal="right"/>
    </xf>
    <xf numFmtId="43" fontId="5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165" fontId="9" fillId="3" borderId="1" xfId="22" applyNumberFormat="1" applyFont="1" applyFill="1" applyBorder="1"/>
    <xf numFmtId="165" fontId="9" fillId="0" borderId="1" xfId="22" applyNumberFormat="1" applyFont="1" applyFill="1" applyBorder="1"/>
    <xf numFmtId="0" fontId="5" fillId="0" borderId="0" xfId="23" applyFont="1" applyAlignment="1">
      <alignment horizontal="center" vertical="center"/>
    </xf>
    <xf numFmtId="0" fontId="5" fillId="0" borderId="0" xfId="23" applyFont="1"/>
    <xf numFmtId="0" fontId="9" fillId="0" borderId="0" xfId="19" applyFont="1"/>
    <xf numFmtId="49" fontId="5" fillId="0" borderId="0" xfId="11" applyNumberFormat="1" applyFont="1" applyAlignment="1">
      <alignment horizontal="center" vertical="center"/>
    </xf>
    <xf numFmtId="0" fontId="9" fillId="0" borderId="0" xfId="19" applyFont="1" applyAlignment="1">
      <alignment vertical="center"/>
    </xf>
    <xf numFmtId="0" fontId="9" fillId="0" borderId="0" xfId="23" applyFont="1" applyAlignment="1">
      <alignment horizontal="center" vertical="center"/>
    </xf>
    <xf numFmtId="0" fontId="9" fillId="0" borderId="37" xfId="23" applyFont="1" applyBorder="1" applyAlignment="1">
      <alignment horizontal="center"/>
    </xf>
    <xf numFmtId="167" fontId="9" fillId="0" borderId="0" xfId="23" applyNumberFormat="1" applyFont="1" applyAlignment="1">
      <alignment horizontal="right"/>
    </xf>
    <xf numFmtId="0" fontId="18" fillId="0" borderId="0" xfId="23" applyFont="1"/>
    <xf numFmtId="0" fontId="9" fillId="0" borderId="0" xfId="23" applyFont="1"/>
    <xf numFmtId="0" fontId="9" fillId="0" borderId="0" xfId="23" applyFont="1" applyAlignment="1">
      <alignment vertical="center"/>
    </xf>
    <xf numFmtId="10" fontId="5" fillId="2" borderId="0" xfId="23" applyNumberFormat="1" applyFont="1" applyFill="1" applyAlignment="1">
      <alignment horizontal="right" vertical="center"/>
    </xf>
    <xf numFmtId="0" fontId="9" fillId="0" borderId="0" xfId="23" applyFont="1" applyAlignment="1">
      <alignment horizontal="center"/>
    </xf>
    <xf numFmtId="0" fontId="5" fillId="0" borderId="0" xfId="23" applyFont="1" applyAlignment="1">
      <alignment vertical="center"/>
    </xf>
    <xf numFmtId="167" fontId="9" fillId="0" borderId="0" xfId="23" applyNumberFormat="1" applyFont="1" applyAlignment="1">
      <alignment horizontal="right" vertical="center"/>
    </xf>
    <xf numFmtId="10" fontId="9" fillId="2" borderId="0" xfId="23" applyNumberFormat="1" applyFont="1" applyFill="1" applyAlignment="1">
      <alignment horizontal="right" vertical="center"/>
    </xf>
    <xf numFmtId="10" fontId="9" fillId="0" borderId="0" xfId="23" applyNumberFormat="1" applyFont="1" applyAlignment="1">
      <alignment horizontal="right"/>
    </xf>
    <xf numFmtId="167" fontId="9" fillId="0" borderId="0" xfId="23" applyNumberFormat="1" applyFont="1" applyAlignment="1">
      <alignment vertical="center"/>
    </xf>
    <xf numFmtId="167" fontId="9" fillId="0" borderId="0" xfId="23" applyNumberFormat="1" applyFont="1"/>
    <xf numFmtId="10" fontId="9" fillId="2" borderId="0" xfId="23" applyNumberFormat="1" applyFont="1" applyFill="1" applyAlignment="1">
      <alignment vertical="center"/>
    </xf>
    <xf numFmtId="0" fontId="5" fillId="0" borderId="0" xfId="23" applyFont="1" applyProtection="1">
      <protection locked="0"/>
    </xf>
    <xf numFmtId="0" fontId="5" fillId="0" borderId="0" xfId="23" applyFont="1" applyAlignment="1" applyProtection="1">
      <alignment vertical="center"/>
      <protection locked="0"/>
    </xf>
    <xf numFmtId="167" fontId="9" fillId="0" borderId="22" xfId="23" applyNumberFormat="1" applyFont="1" applyBorder="1" applyAlignment="1" applyProtection="1">
      <alignment horizontal="right" vertical="center"/>
      <protection locked="0"/>
    </xf>
    <xf numFmtId="167" fontId="9" fillId="0" borderId="0" xfId="23" applyNumberFormat="1" applyFont="1" applyAlignment="1" applyProtection="1">
      <alignment horizontal="right"/>
      <protection locked="0"/>
    </xf>
    <xf numFmtId="10" fontId="5" fillId="0" borderId="0" xfId="23" applyNumberFormat="1" applyFont="1" applyAlignment="1">
      <alignment horizontal="right" vertical="center"/>
    </xf>
    <xf numFmtId="167" fontId="9" fillId="0" borderId="0" xfId="23" quotePrefix="1" applyNumberFormat="1" applyFont="1" applyAlignment="1">
      <alignment horizontal="right" vertical="center"/>
    </xf>
    <xf numFmtId="167" fontId="9" fillId="0" borderId="0" xfId="23" quotePrefix="1" applyNumberFormat="1" applyFont="1" applyAlignment="1">
      <alignment horizontal="right"/>
    </xf>
    <xf numFmtId="169" fontId="9" fillId="3" borderId="0" xfId="23" applyNumberFormat="1" applyFont="1" applyFill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7" fontId="5" fillId="0" borderId="22" xfId="23" quotePrefix="1" applyNumberFormat="1" applyFont="1" applyBorder="1" applyAlignment="1">
      <alignment horizontal="right" vertical="center"/>
    </xf>
    <xf numFmtId="167" fontId="5" fillId="0" borderId="0" xfId="23" quotePrefix="1" applyNumberFormat="1" applyFont="1" applyAlignment="1">
      <alignment horizontal="right"/>
    </xf>
    <xf numFmtId="10" fontId="5" fillId="0" borderId="2" xfId="23" quotePrefix="1" applyNumberFormat="1" applyFont="1" applyBorder="1" applyAlignment="1">
      <alignment horizontal="right" vertical="center"/>
    </xf>
    <xf numFmtId="0" fontId="18" fillId="0" borderId="0" xfId="23" applyFont="1" applyAlignment="1">
      <alignment vertical="center"/>
    </xf>
    <xf numFmtId="164" fontId="9" fillId="3" borderId="0" xfId="13" applyNumberFormat="1" applyFont="1" applyFill="1" applyAlignment="1" applyProtection="1">
      <alignment vertical="center"/>
      <protection locked="0"/>
    </xf>
    <xf numFmtId="10" fontId="18" fillId="0" borderId="22" xfId="23" applyNumberFormat="1" applyFont="1" applyBorder="1" applyAlignment="1">
      <alignment horizontal="right" vertical="center"/>
    </xf>
    <xf numFmtId="10" fontId="18" fillId="0" borderId="0" xfId="23" applyNumberFormat="1" applyFont="1" applyAlignment="1">
      <alignment horizontal="right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23" applyFont="1" applyAlignment="1">
      <alignment horizontal="left" vertical="center"/>
    </xf>
    <xf numFmtId="173" fontId="9" fillId="0" borderId="0" xfId="23" applyNumberFormat="1" applyFont="1" applyAlignment="1">
      <alignment horizontal="left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0" fontId="18" fillId="0" borderId="0" xfId="23" applyFont="1" applyAlignment="1">
      <alignment horizontal="center" vertical="center"/>
    </xf>
    <xf numFmtId="0" fontId="18" fillId="0" borderId="0" xfId="23" applyFont="1" applyAlignment="1">
      <alignment horizontal="center"/>
    </xf>
    <xf numFmtId="164" fontId="5" fillId="2" borderId="38" xfId="13" applyNumberFormat="1" applyFont="1" applyFill="1" applyBorder="1" applyAlignment="1" applyProtection="1">
      <alignment vertical="center"/>
      <protection locked="0"/>
    </xf>
    <xf numFmtId="10" fontId="9" fillId="0" borderId="0" xfId="3" applyNumberFormat="1" applyFont="1"/>
    <xf numFmtId="164" fontId="9" fillId="0" borderId="0" xfId="13" applyNumberFormat="1" applyFont="1" applyFill="1" applyBorder="1" applyAlignment="1" applyProtection="1">
      <alignment vertical="center"/>
      <protection locked="0"/>
    </xf>
    <xf numFmtId="164" fontId="9" fillId="0" borderId="0" xfId="13" applyNumberFormat="1" applyFont="1" applyFill="1" applyBorder="1" applyProtection="1">
      <protection locked="0"/>
    </xf>
    <xf numFmtId="10" fontId="5" fillId="0" borderId="0" xfId="24" applyNumberFormat="1" applyFont="1" applyBorder="1" applyAlignment="1">
      <alignment horizontal="right" vertical="center"/>
    </xf>
    <xf numFmtId="5" fontId="9" fillId="0" borderId="0" xfId="23" applyNumberFormat="1" applyFont="1" applyAlignment="1" applyProtection="1">
      <alignment horizontal="right" vertical="center"/>
      <protection locked="0"/>
    </xf>
    <xf numFmtId="5" fontId="9" fillId="0" borderId="0" xfId="23" applyNumberFormat="1" applyFont="1" applyAlignment="1" applyProtection="1">
      <alignment horizontal="right"/>
      <protection locked="0"/>
    </xf>
    <xf numFmtId="5" fontId="5" fillId="0" borderId="0" xfId="23" applyNumberFormat="1" applyFont="1" applyAlignment="1" applyProtection="1">
      <alignment horizontal="right" vertical="center"/>
      <protection locked="0"/>
    </xf>
    <xf numFmtId="5" fontId="5" fillId="0" borderId="0" xfId="23" applyNumberFormat="1" applyFont="1" applyAlignment="1" applyProtection="1">
      <alignment horizontal="right"/>
      <protection locked="0"/>
    </xf>
    <xf numFmtId="0" fontId="5" fillId="0" borderId="0" xfId="23" applyFont="1" applyAlignment="1">
      <alignment horizontal="left"/>
    </xf>
    <xf numFmtId="164" fontId="5" fillId="2" borderId="38" xfId="23" applyNumberFormat="1" applyFont="1" applyFill="1" applyBorder="1" applyAlignment="1" applyProtection="1">
      <alignment horizontal="right" vertical="center"/>
      <protection locked="0"/>
    </xf>
    <xf numFmtId="0" fontId="9" fillId="0" borderId="0" xfId="23" applyFont="1" applyAlignment="1">
      <alignment horizontal="left"/>
    </xf>
    <xf numFmtId="10" fontId="9" fillId="0" borderId="0" xfId="24" applyNumberFormat="1" applyFont="1" applyBorder="1" applyAlignment="1">
      <alignment horizontal="right" vertical="center"/>
    </xf>
    <xf numFmtId="10" fontId="5" fillId="0" borderId="0" xfId="24" applyNumberFormat="1" applyFont="1" applyBorder="1" applyAlignment="1">
      <alignment horizontal="right"/>
    </xf>
    <xf numFmtId="10" fontId="5" fillId="0" borderId="0" xfId="20" applyNumberFormat="1" applyFont="1" applyBorder="1" applyAlignment="1">
      <alignment vertical="center"/>
    </xf>
    <xf numFmtId="10" fontId="5" fillId="0" borderId="0" xfId="20" applyNumberFormat="1" applyFont="1" applyBorder="1"/>
    <xf numFmtId="164" fontId="9" fillId="2" borderId="38" xfId="23" applyNumberFormat="1" applyFont="1" applyFill="1" applyBorder="1" applyAlignment="1" applyProtection="1">
      <alignment horizontal="right" vertical="center"/>
      <protection locked="0"/>
    </xf>
    <xf numFmtId="10" fontId="5" fillId="0" borderId="0" xfId="24" applyNumberFormat="1" applyFont="1" applyAlignment="1" applyProtection="1">
      <alignment horizontal="right" vertical="center"/>
    </xf>
    <xf numFmtId="10" fontId="5" fillId="0" borderId="0" xfId="24" applyNumberFormat="1" applyFont="1" applyAlignment="1" applyProtection="1">
      <alignment horizontal="right"/>
    </xf>
    <xf numFmtId="0" fontId="20" fillId="0" borderId="0" xfId="23" applyFont="1"/>
    <xf numFmtId="164" fontId="9" fillId="2" borderId="0" xfId="23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39" xfId="23" applyNumberFormat="1" applyFont="1" applyBorder="1" applyAlignment="1" applyProtection="1">
      <alignment horizontal="right" vertical="center"/>
      <protection locked="0"/>
    </xf>
    <xf numFmtId="164" fontId="5" fillId="0" borderId="0" xfId="23" applyNumberFormat="1" applyFont="1" applyAlignment="1" applyProtection="1">
      <alignment horizontal="right" vertical="center"/>
      <protection locked="0"/>
    </xf>
    <xf numFmtId="164" fontId="5" fillId="0" borderId="0" xfId="23" applyNumberFormat="1" applyFont="1" applyAlignment="1" applyProtection="1">
      <alignment horizontal="right"/>
      <protection locked="0"/>
    </xf>
    <xf numFmtId="169" fontId="9" fillId="2" borderId="0" xfId="20" applyNumberFormat="1" applyFont="1" applyFill="1" applyBorder="1" applyAlignment="1">
      <alignment horizontal="right" vertical="center"/>
    </xf>
    <xf numFmtId="164" fontId="5" fillId="0" borderId="40" xfId="23" applyNumberFormat="1" applyFont="1" applyBorder="1" applyAlignment="1" applyProtection="1">
      <alignment horizontal="right" vertical="center"/>
      <protection locked="0"/>
    </xf>
    <xf numFmtId="10" fontId="9" fillId="0" borderId="0" xfId="24" applyNumberFormat="1" applyFont="1" applyBorder="1" applyAlignment="1">
      <alignment horizontal="right"/>
    </xf>
    <xf numFmtId="0" fontId="10" fillId="0" borderId="0" xfId="23" applyFont="1"/>
    <xf numFmtId="0" fontId="12" fillId="0" borderId="0" xfId="19" applyFont="1"/>
    <xf numFmtId="165" fontId="9" fillId="2" borderId="40" xfId="1" applyNumberFormat="1" applyFont="1" applyFill="1" applyBorder="1" applyAlignment="1">
      <alignment horizontal="center" vertical="center"/>
    </xf>
    <xf numFmtId="0" fontId="12" fillId="0" borderId="0" xfId="0" applyFont="1"/>
    <xf numFmtId="165" fontId="29" fillId="0" borderId="0" xfId="14" applyNumberFormat="1" applyFont="1" applyBorder="1" applyAlignment="1">
      <alignment vertical="center"/>
    </xf>
    <xf numFmtId="165" fontId="29" fillId="0" borderId="0" xfId="14" applyNumberFormat="1" applyFont="1" applyBorder="1"/>
    <xf numFmtId="164" fontId="9" fillId="0" borderId="0" xfId="21" applyNumberFormat="1" applyFont="1" applyAlignment="1">
      <alignment vertical="center"/>
    </xf>
    <xf numFmtId="164" fontId="10" fillId="0" borderId="0" xfId="21" applyNumberFormat="1" applyFont="1"/>
    <xf numFmtId="0" fontId="12" fillId="0" borderId="0" xfId="23" applyFont="1"/>
    <xf numFmtId="164" fontId="12" fillId="0" borderId="0" xfId="21" applyNumberFormat="1" applyFont="1" applyAlignment="1">
      <alignment vertical="center"/>
    </xf>
    <xf numFmtId="0" fontId="12" fillId="0" borderId="0" xfId="23" applyFont="1" applyAlignment="1">
      <alignment horizontal="center"/>
    </xf>
    <xf numFmtId="169" fontId="9" fillId="0" borderId="38" xfId="3" applyNumberFormat="1" applyFont="1" applyFill="1" applyBorder="1" applyAlignment="1">
      <alignment vertical="center"/>
    </xf>
    <xf numFmtId="10" fontId="30" fillId="0" borderId="0" xfId="20" applyNumberFormat="1" applyFont="1" applyBorder="1" applyAlignment="1" applyProtection="1">
      <alignment vertical="center"/>
    </xf>
    <xf numFmtId="10" fontId="30" fillId="0" borderId="0" xfId="20" applyNumberFormat="1" applyFont="1" applyBorder="1" applyProtection="1"/>
    <xf numFmtId="164" fontId="10" fillId="0" borderId="0" xfId="21" applyNumberFormat="1" applyFont="1" applyBorder="1" applyAlignment="1">
      <alignment horizontal="right"/>
    </xf>
    <xf numFmtId="164" fontId="12" fillId="0" borderId="0" xfId="21" applyNumberFormat="1" applyFont="1" applyBorder="1" applyAlignment="1">
      <alignment horizontal="right" vertical="center"/>
    </xf>
    <xf numFmtId="164" fontId="9" fillId="2" borderId="38" xfId="2" applyNumberFormat="1" applyFont="1" applyFill="1" applyBorder="1" applyAlignment="1">
      <alignment horizontal="right" vertical="center"/>
    </xf>
    <xf numFmtId="0" fontId="10" fillId="0" borderId="0" xfId="23" applyFont="1" applyAlignment="1">
      <alignment vertical="center"/>
    </xf>
    <xf numFmtId="10" fontId="9" fillId="0" borderId="2" xfId="24" applyNumberFormat="1" applyFont="1" applyBorder="1" applyAlignment="1">
      <alignment horizontal="right" vertical="center"/>
    </xf>
    <xf numFmtId="10" fontId="10" fillId="0" borderId="0" xfId="24" applyNumberFormat="1" applyFont="1" applyBorder="1" applyAlignment="1">
      <alignment horizontal="right"/>
    </xf>
    <xf numFmtId="10" fontId="5" fillId="0" borderId="0" xfId="20" applyNumberFormat="1" applyFont="1"/>
    <xf numFmtId="174" fontId="9" fillId="0" borderId="0" xfId="0" applyNumberFormat="1" applyFont="1" applyAlignment="1">
      <alignment vertical="center"/>
    </xf>
    <xf numFmtId="0" fontId="18" fillId="0" borderId="0" xfId="0" quotePrefix="1" applyFont="1" applyAlignment="1">
      <alignment horizontal="center" vertical="center"/>
    </xf>
    <xf numFmtId="0" fontId="18" fillId="0" borderId="0" xfId="11" applyFont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164" fontId="9" fillId="0" borderId="0" xfId="2" applyNumberFormat="1" applyFont="1" applyFill="1" applyAlignment="1">
      <alignment horizontal="right" vertical="center"/>
    </xf>
    <xf numFmtId="10" fontId="9" fillId="3" borderId="0" xfId="3" applyNumberFormat="1" applyFont="1" applyFill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164" fontId="9" fillId="0" borderId="0" xfId="2" applyNumberFormat="1" applyFont="1" applyAlignment="1">
      <alignment horizontal="right" vertical="center"/>
    </xf>
    <xf numFmtId="165" fontId="9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horizontal="right" vertical="center"/>
    </xf>
    <xf numFmtId="175" fontId="9" fillId="0" borderId="0" xfId="3" applyNumberFormat="1" applyFont="1" applyAlignment="1">
      <alignment vertical="center"/>
    </xf>
    <xf numFmtId="165" fontId="5" fillId="2" borderId="0" xfId="1" applyNumberFormat="1" applyFont="1" applyFill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0" fontId="9" fillId="0" borderId="38" xfId="11" applyFont="1" applyBorder="1" applyAlignment="1">
      <alignment horizontal="left" vertical="center"/>
    </xf>
    <xf numFmtId="1" fontId="9" fillId="0" borderId="38" xfId="11" applyNumberFormat="1" applyFont="1" applyBorder="1" applyAlignment="1">
      <alignment horizontal="center" vertical="center"/>
    </xf>
    <xf numFmtId="165" fontId="9" fillId="0" borderId="38" xfId="1" applyNumberFormat="1" applyFont="1" applyFill="1" applyBorder="1" applyAlignment="1">
      <alignment vertical="center"/>
    </xf>
    <xf numFmtId="165" fontId="9" fillId="0" borderId="38" xfId="1" applyNumberFormat="1" applyFont="1" applyFill="1" applyBorder="1" applyAlignment="1">
      <alignment horizontal="right" vertical="center"/>
    </xf>
    <xf numFmtId="165" fontId="5" fillId="0" borderId="38" xfId="1" applyNumberFormat="1" applyFont="1" applyFill="1" applyBorder="1" applyAlignment="1">
      <alignment vertical="center"/>
    </xf>
    <xf numFmtId="10" fontId="9" fillId="3" borderId="38" xfId="3" applyNumberFormat="1" applyFont="1" applyFill="1" applyBorder="1" applyAlignment="1">
      <alignment horizontal="center" vertical="center"/>
    </xf>
    <xf numFmtId="165" fontId="5" fillId="0" borderId="38" xfId="1" applyNumberFormat="1" applyFont="1" applyBorder="1" applyAlignment="1">
      <alignment horizontal="center" vertical="center"/>
    </xf>
    <xf numFmtId="165" fontId="9" fillId="0" borderId="38" xfId="1" applyNumberFormat="1" applyFont="1" applyBorder="1" applyAlignment="1">
      <alignment horizontal="right" vertical="center"/>
    </xf>
    <xf numFmtId="165" fontId="5" fillId="0" borderId="38" xfId="1" applyNumberFormat="1" applyFont="1" applyFill="1" applyBorder="1" applyAlignment="1">
      <alignment horizontal="right" vertical="center"/>
    </xf>
    <xf numFmtId="164" fontId="5" fillId="0" borderId="20" xfId="2" applyNumberFormat="1" applyFont="1" applyFill="1" applyBorder="1" applyAlignment="1">
      <alignment vertical="center"/>
    </xf>
    <xf numFmtId="164" fontId="9" fillId="0" borderId="20" xfId="2" applyNumberFormat="1" applyFont="1" applyFill="1" applyBorder="1" applyAlignment="1">
      <alignment vertical="center"/>
    </xf>
    <xf numFmtId="176" fontId="9" fillId="0" borderId="20" xfId="2" applyNumberFormat="1" applyFont="1" applyBorder="1" applyAlignment="1">
      <alignment vertical="center"/>
    </xf>
    <xf numFmtId="176" fontId="9" fillId="0" borderId="0" xfId="2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14" fillId="0" borderId="0" xfId="26" quotePrefix="1" applyFont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5" fontId="9" fillId="0" borderId="38" xfId="0" applyNumberFormat="1" applyFont="1" applyBorder="1" applyAlignment="1">
      <alignment horizontal="center" vertical="center"/>
    </xf>
    <xf numFmtId="0" fontId="20" fillId="0" borderId="0" xfId="11" applyFont="1"/>
    <xf numFmtId="0" fontId="9" fillId="0" borderId="0" xfId="11" applyFont="1"/>
    <xf numFmtId="165" fontId="5" fillId="3" borderId="38" xfId="1" applyNumberFormat="1" applyFont="1" applyFill="1" applyBorder="1" applyAlignment="1">
      <alignment vertical="center"/>
    </xf>
    <xf numFmtId="0" fontId="20" fillId="0" borderId="0" xfId="11" applyFont="1" applyAlignment="1">
      <alignment horizontal="left"/>
    </xf>
    <xf numFmtId="5" fontId="9" fillId="0" borderId="0" xfId="0" applyNumberFormat="1" applyFont="1" applyAlignment="1">
      <alignment horizontal="left" vertical="center"/>
    </xf>
    <xf numFmtId="165" fontId="5" fillId="3" borderId="38" xfId="1" applyNumberFormat="1" applyFont="1" applyFill="1" applyBorder="1" applyAlignment="1" applyProtection="1">
      <alignment vertical="center"/>
      <protection locked="0"/>
    </xf>
    <xf numFmtId="165" fontId="9" fillId="3" borderId="38" xfId="1" applyNumberFormat="1" applyFont="1" applyFill="1" applyBorder="1" applyAlignment="1" applyProtection="1">
      <alignment vertical="center"/>
      <protection locked="0"/>
    </xf>
    <xf numFmtId="10" fontId="9" fillId="2" borderId="38" xfId="0" applyNumberFormat="1" applyFont="1" applyFill="1" applyBorder="1" applyAlignment="1">
      <alignment horizontal="right" vertical="center"/>
    </xf>
    <xf numFmtId="165" fontId="9" fillId="0" borderId="38" xfId="1" applyNumberFormat="1" applyFont="1" applyFill="1" applyBorder="1" applyAlignment="1" applyProtection="1">
      <alignment vertical="center"/>
      <protection locked="0"/>
    </xf>
    <xf numFmtId="164" fontId="5" fillId="0" borderId="2" xfId="2" applyNumberFormat="1" applyFont="1" applyFill="1" applyBorder="1" applyAlignment="1">
      <alignment horizontal="right" vertical="center"/>
    </xf>
    <xf numFmtId="165" fontId="9" fillId="2" borderId="38" xfId="1" applyNumberFormat="1" applyFont="1" applyFill="1" applyBorder="1" applyAlignment="1" applyProtection="1">
      <alignment horizontal="right" vertical="center"/>
    </xf>
    <xf numFmtId="165" fontId="9" fillId="2" borderId="38" xfId="1" applyNumberFormat="1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9" fillId="0" borderId="0" xfId="0" quotePrefix="1" applyFont="1" applyAlignment="1">
      <alignment horizontal="centerContinuous" vertical="center"/>
    </xf>
    <xf numFmtId="49" fontId="5" fillId="0" borderId="41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38" fontId="9" fillId="0" borderId="18" xfId="1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5" fontId="9" fillId="0" borderId="42" xfId="1" applyNumberFormat="1" applyFont="1" applyFill="1" applyBorder="1" applyAlignment="1">
      <alignment vertical="center"/>
    </xf>
    <xf numFmtId="165" fontId="9" fillId="0" borderId="45" xfId="1" applyNumberFormat="1" applyFont="1" applyFill="1" applyBorder="1" applyAlignment="1">
      <alignment vertical="center"/>
    </xf>
    <xf numFmtId="165" fontId="9" fillId="0" borderId="43" xfId="1" applyNumberFormat="1" applyFont="1" applyFill="1" applyBorder="1" applyAlignment="1">
      <alignment vertical="center"/>
    </xf>
    <xf numFmtId="164" fontId="5" fillId="0" borderId="9" xfId="2" applyNumberFormat="1" applyFont="1" applyFill="1" applyBorder="1" applyAlignment="1">
      <alignment vertical="center"/>
    </xf>
    <xf numFmtId="166" fontId="9" fillId="0" borderId="24" xfId="1" applyNumberFormat="1" applyFont="1" applyFill="1" applyBorder="1" applyAlignment="1">
      <alignment vertical="center"/>
    </xf>
    <xf numFmtId="164" fontId="9" fillId="0" borderId="45" xfId="2" applyNumberFormat="1" applyFont="1" applyFill="1" applyBorder="1" applyAlignment="1">
      <alignment vertical="center"/>
    </xf>
    <xf numFmtId="164" fontId="9" fillId="0" borderId="43" xfId="2" applyNumberFormat="1" applyFont="1" applyFill="1" applyBorder="1" applyAlignment="1">
      <alignment vertical="center"/>
    </xf>
    <xf numFmtId="49" fontId="18" fillId="0" borderId="10" xfId="0" applyNumberFormat="1" applyFont="1" applyBorder="1"/>
    <xf numFmtId="166" fontId="9" fillId="0" borderId="0" xfId="0" applyNumberFormat="1" applyFont="1"/>
    <xf numFmtId="166" fontId="9" fillId="0" borderId="0" xfId="1" applyNumberFormat="1" applyFont="1" applyFill="1" applyBorder="1"/>
    <xf numFmtId="0" fontId="9" fillId="0" borderId="10" xfId="0" applyFont="1" applyBorder="1" applyAlignment="1">
      <alignment horizontal="center" vertical="center"/>
    </xf>
    <xf numFmtId="164" fontId="9" fillId="0" borderId="0" xfId="1" applyNumberFormat="1" applyFont="1" applyFill="1" applyBorder="1"/>
    <xf numFmtId="166" fontId="5" fillId="0" borderId="0" xfId="0" applyNumberFormat="1" applyFont="1"/>
    <xf numFmtId="0" fontId="9" fillId="0" borderId="0" xfId="27" applyFont="1"/>
    <xf numFmtId="49" fontId="9" fillId="0" borderId="10" xfId="0" applyNumberFormat="1" applyFont="1" applyBorder="1" applyAlignment="1">
      <alignment horizontal="center"/>
    </xf>
    <xf numFmtId="165" fontId="9" fillId="0" borderId="38" xfId="1" applyNumberFormat="1" applyFont="1" applyFill="1" applyBorder="1"/>
    <xf numFmtId="0" fontId="9" fillId="0" borderId="0" xfId="25" applyFont="1"/>
    <xf numFmtId="0" fontId="9" fillId="0" borderId="0" xfId="25" applyFont="1" applyAlignment="1">
      <alignment wrapText="1"/>
    </xf>
    <xf numFmtId="0" fontId="5" fillId="0" borderId="10" xfId="0" applyFont="1" applyBorder="1" applyAlignment="1">
      <alignment horizontal="left"/>
    </xf>
    <xf numFmtId="0" fontId="9" fillId="0" borderId="22" xfId="0" applyFont="1" applyBorder="1"/>
    <xf numFmtId="0" fontId="5" fillId="0" borderId="10" xfId="25" applyFont="1" applyBorder="1" applyAlignment="1">
      <alignment horizontal="left"/>
    </xf>
    <xf numFmtId="0" fontId="5" fillId="0" borderId="0" xfId="25" applyFont="1"/>
    <xf numFmtId="0" fontId="14" fillId="0" borderId="10" xfId="25" applyFont="1" applyBorder="1" applyAlignment="1">
      <alignment horizontal="center"/>
    </xf>
    <xf numFmtId="0" fontId="14" fillId="0" borderId="0" xfId="11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37" fontId="5" fillId="0" borderId="16" xfId="16" applyNumberFormat="1" applyFont="1" applyBorder="1" applyAlignment="1">
      <alignment horizontal="left" vertical="center"/>
    </xf>
    <xf numFmtId="164" fontId="5" fillId="0" borderId="16" xfId="2" applyNumberFormat="1" applyFont="1" applyBorder="1" applyAlignment="1">
      <alignment vertical="center"/>
    </xf>
    <xf numFmtId="37" fontId="9" fillId="0" borderId="0" xfId="1" applyNumberFormat="1" applyFont="1" applyBorder="1" applyAlignment="1">
      <alignment vertical="center"/>
    </xf>
    <xf numFmtId="37" fontId="9" fillId="0" borderId="0" xfId="1" applyNumberFormat="1" applyFont="1" applyFill="1" applyBorder="1" applyAlignment="1">
      <alignment vertical="center"/>
    </xf>
    <xf numFmtId="165" fontId="9" fillId="0" borderId="38" xfId="1" applyNumberFormat="1" applyFont="1" applyBorder="1"/>
    <xf numFmtId="37" fontId="5" fillId="0" borderId="0" xfId="0" applyNumberFormat="1" applyFont="1" applyAlignment="1">
      <alignment horizontal="right" vertical="center"/>
    </xf>
    <xf numFmtId="37" fontId="5" fillId="0" borderId="11" xfId="0" applyNumberFormat="1" applyFont="1" applyBorder="1" applyAlignment="1">
      <alignment vertical="center"/>
    </xf>
    <xf numFmtId="43" fontId="23" fillId="0" borderId="0" xfId="1" applyFont="1"/>
    <xf numFmtId="165" fontId="23" fillId="0" borderId="0" xfId="1" applyNumberFormat="1" applyFont="1"/>
    <xf numFmtId="165" fontId="9" fillId="0" borderId="0" xfId="1" applyNumberFormat="1" applyFont="1" applyAlignment="1">
      <alignment vertical="top"/>
    </xf>
    <xf numFmtId="165" fontId="23" fillId="0" borderId="0" xfId="1" applyNumberFormat="1" applyFont="1" applyAlignment="1">
      <alignment vertical="top"/>
    </xf>
    <xf numFmtId="165" fontId="9" fillId="0" borderId="38" xfId="1" applyNumberFormat="1" applyFont="1" applyBorder="1" applyAlignment="1">
      <alignment vertical="top"/>
    </xf>
    <xf numFmtId="43" fontId="10" fillId="0" borderId="0" xfId="1" applyFont="1" applyAlignment="1">
      <alignment horizontal="right" vertical="center"/>
    </xf>
    <xf numFmtId="164" fontId="5" fillId="0" borderId="2" xfId="2" applyNumberFormat="1" applyFont="1" applyBorder="1" applyAlignment="1">
      <alignment vertical="center"/>
    </xf>
    <xf numFmtId="0" fontId="25" fillId="0" borderId="10" xfId="25" applyFont="1" applyBorder="1" applyAlignment="1">
      <alignment horizontal="center"/>
    </xf>
    <xf numFmtId="37" fontId="5" fillId="0" borderId="0" xfId="28" applyNumberFormat="1" applyFont="1" applyAlignment="1" applyProtection="1">
      <alignment horizontal="center" vertical="center"/>
      <protection locked="0"/>
    </xf>
    <xf numFmtId="37" fontId="5" fillId="0" borderId="0" xfId="28" applyNumberFormat="1" applyFont="1" applyAlignment="1">
      <alignment vertical="center"/>
    </xf>
    <xf numFmtId="15" fontId="9" fillId="0" borderId="38" xfId="11" applyNumberFormat="1" applyFont="1" applyBorder="1" applyAlignment="1">
      <alignment horizontal="center" vertical="center"/>
    </xf>
    <xf numFmtId="0" fontId="9" fillId="0" borderId="38" xfId="11" applyFont="1" applyBorder="1" applyAlignment="1">
      <alignment horizontal="center" vertical="center"/>
    </xf>
    <xf numFmtId="164" fontId="9" fillId="0" borderId="0" xfId="13" applyNumberFormat="1" applyFont="1" applyBorder="1" applyAlignment="1" applyProtection="1">
      <alignment vertical="center"/>
      <protection locked="0"/>
    </xf>
    <xf numFmtId="10" fontId="9" fillId="2" borderId="38" xfId="11" applyNumberFormat="1" applyFont="1" applyFill="1" applyBorder="1" applyAlignment="1" applyProtection="1">
      <alignment horizontal="right" vertical="center"/>
      <protection locked="0"/>
    </xf>
    <xf numFmtId="164" fontId="9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2" xfId="13" applyNumberFormat="1" applyFont="1" applyBorder="1" applyAlignment="1" applyProtection="1">
      <alignment horizontal="right" vertical="center"/>
      <protection locked="0"/>
    </xf>
    <xf numFmtId="165" fontId="9" fillId="0" borderId="0" xfId="29" applyNumberFormat="1" applyFont="1" applyBorder="1" applyAlignment="1">
      <alignment vertical="center"/>
    </xf>
    <xf numFmtId="164" fontId="9" fillId="0" borderId="0" xfId="13" applyNumberFormat="1" applyFont="1" applyBorder="1" applyAlignment="1">
      <alignment vertical="center"/>
    </xf>
    <xf numFmtId="164" fontId="9" fillId="3" borderId="38" xfId="13" applyNumberFormat="1" applyFont="1" applyFill="1" applyBorder="1" applyAlignment="1" applyProtection="1">
      <alignment horizontal="center" vertical="center"/>
      <protection locked="0"/>
    </xf>
    <xf numFmtId="165" fontId="9" fillId="0" borderId="0" xfId="29" applyNumberFormat="1" applyFont="1" applyBorder="1" applyAlignment="1" applyProtection="1">
      <alignment vertical="center"/>
      <protection locked="0"/>
    </xf>
    <xf numFmtId="165" fontId="9" fillId="0" borderId="0" xfId="29" applyNumberFormat="1" applyFont="1" applyAlignment="1" applyProtection="1">
      <alignment vertical="center"/>
      <protection locked="0"/>
    </xf>
    <xf numFmtId="164" fontId="5" fillId="2" borderId="0" xfId="13" applyNumberFormat="1" applyFont="1" applyFill="1" applyAlignment="1" applyProtection="1">
      <alignment vertical="center"/>
      <protection locked="0"/>
    </xf>
    <xf numFmtId="165" fontId="5" fillId="2" borderId="0" xfId="29" applyNumberFormat="1" applyFont="1" applyFill="1" applyBorder="1" applyAlignment="1" applyProtection="1">
      <alignment horizontal="right" vertical="center"/>
      <protection locked="0"/>
    </xf>
    <xf numFmtId="165" fontId="9" fillId="0" borderId="0" xfId="29" applyNumberFormat="1" applyFont="1" applyFill="1" applyBorder="1" applyAlignment="1" applyProtection="1">
      <alignment vertical="center"/>
      <protection locked="0"/>
    </xf>
    <xf numFmtId="165" fontId="9" fillId="2" borderId="38" xfId="1" applyNumberFormat="1" applyFont="1" applyFill="1" applyBorder="1" applyAlignment="1" applyProtection="1">
      <alignment vertical="center"/>
      <protection locked="0"/>
    </xf>
    <xf numFmtId="0" fontId="12" fillId="0" borderId="0" xfId="11" applyFont="1" applyAlignment="1">
      <alignment vertical="center"/>
    </xf>
    <xf numFmtId="164" fontId="5" fillId="0" borderId="0" xfId="13" applyNumberFormat="1" applyFont="1" applyAlignment="1">
      <alignment horizontal="right" vertical="center"/>
    </xf>
    <xf numFmtId="10" fontId="9" fillId="3" borderId="38" xfId="30" applyNumberFormat="1" applyFont="1" applyFill="1" applyBorder="1" applyAlignment="1">
      <alignment vertical="center"/>
    </xf>
    <xf numFmtId="10" fontId="9" fillId="0" borderId="0" xfId="30" applyNumberFormat="1" applyFont="1" applyBorder="1" applyAlignment="1">
      <alignment vertical="center"/>
    </xf>
    <xf numFmtId="164" fontId="5" fillId="0" borderId="2" xfId="13" applyNumberFormat="1" applyFont="1" applyBorder="1" applyAlignment="1" applyProtection="1">
      <alignment horizontal="right" vertical="center"/>
      <protection locked="0"/>
    </xf>
    <xf numFmtId="0" fontId="9" fillId="0" borderId="0" xfId="31" applyFont="1" applyAlignment="1">
      <alignment vertical="center"/>
    </xf>
    <xf numFmtId="0" fontId="5" fillId="0" borderId="0" xfId="32" applyFont="1" applyAlignment="1">
      <alignment horizontal="left" vertical="center"/>
    </xf>
    <xf numFmtId="0" fontId="9" fillId="0" borderId="38" xfId="0" applyFont="1" applyBorder="1" applyAlignment="1">
      <alignment horizontal="center" vertical="center" wrapText="1"/>
    </xf>
    <xf numFmtId="164" fontId="9" fillId="3" borderId="38" xfId="2" applyNumberFormat="1" applyFont="1" applyFill="1" applyBorder="1" applyAlignment="1" applyProtection="1">
      <alignment vertical="center"/>
      <protection locked="0"/>
    </xf>
    <xf numFmtId="44" fontId="9" fillId="0" borderId="0" xfId="0" applyNumberFormat="1" applyFont="1" applyAlignment="1">
      <alignment vertical="center"/>
    </xf>
    <xf numFmtId="10" fontId="9" fillId="0" borderId="38" xfId="3" applyNumberFormat="1" applyFont="1" applyFill="1" applyBorder="1" applyAlignment="1">
      <alignment horizontal="right" vertical="center"/>
    </xf>
    <xf numFmtId="10" fontId="9" fillId="0" borderId="38" xfId="3" applyNumberFormat="1" applyFont="1" applyBorder="1" applyAlignment="1">
      <alignment horizontal="right" vertical="center"/>
    </xf>
    <xf numFmtId="178" fontId="9" fillId="0" borderId="3" xfId="3" applyNumberFormat="1" applyFont="1" applyBorder="1" applyAlignment="1">
      <alignment horizontal="right" vertical="center"/>
    </xf>
    <xf numFmtId="10" fontId="9" fillId="4" borderId="2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38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vertical="center"/>
    </xf>
    <xf numFmtId="9" fontId="9" fillId="3" borderId="38" xfId="3" applyFont="1" applyFill="1" applyBorder="1" applyAlignment="1">
      <alignment horizontal="right" vertical="center"/>
    </xf>
    <xf numFmtId="0" fontId="9" fillId="3" borderId="38" xfId="3" applyNumberFormat="1" applyFont="1" applyFill="1" applyBorder="1" applyAlignment="1">
      <alignment horizontal="right" vertical="center"/>
    </xf>
    <xf numFmtId="169" fontId="9" fillId="0" borderId="38" xfId="3" applyNumberFormat="1" applyFont="1" applyBorder="1" applyAlignment="1">
      <alignment horizontal="right" vertical="center"/>
    </xf>
    <xf numFmtId="169" fontId="9" fillId="2" borderId="38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9" fontId="9" fillId="2" borderId="38" xfId="3" applyFont="1" applyFill="1" applyBorder="1" applyAlignment="1">
      <alignment horizontal="right" vertical="center"/>
    </xf>
    <xf numFmtId="10" fontId="9" fillId="2" borderId="38" xfId="3" applyNumberFormat="1" applyFont="1" applyFill="1" applyBorder="1" applyAlignment="1">
      <alignment horizontal="right" vertical="center"/>
    </xf>
    <xf numFmtId="169" fontId="9" fillId="2" borderId="38" xfId="0" applyNumberFormat="1" applyFont="1" applyFill="1" applyBorder="1" applyAlignment="1">
      <alignment horizontal="right" vertical="center"/>
    </xf>
    <xf numFmtId="43" fontId="7" fillId="0" borderId="0" xfId="4" applyNumberFormat="1" applyFont="1"/>
    <xf numFmtId="165" fontId="7" fillId="0" borderId="38" xfId="1" applyNumberFormat="1" applyFont="1" applyBorder="1"/>
    <xf numFmtId="0" fontId="19" fillId="0" borderId="0" xfId="0" applyFont="1" applyBorder="1" applyAlignment="1">
      <alignment horizontal="center"/>
    </xf>
    <xf numFmtId="0" fontId="5" fillId="0" borderId="0" xfId="11" applyFont="1" applyAlignment="1">
      <alignment horizontal="right"/>
    </xf>
    <xf numFmtId="0" fontId="5" fillId="0" borderId="0" xfId="0" quotePrefix="1" applyFont="1" applyAlignment="1">
      <alignment horizontal="center"/>
    </xf>
    <xf numFmtId="0" fontId="5" fillId="0" borderId="0" xfId="11" applyFont="1" applyAlignment="1">
      <alignment horizontal="center"/>
    </xf>
    <xf numFmtId="0" fontId="5" fillId="0" borderId="0" xfId="23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0" borderId="43" xfId="11" applyFont="1" applyBorder="1" applyAlignment="1">
      <alignment horizontal="center"/>
    </xf>
    <xf numFmtId="0" fontId="5" fillId="0" borderId="42" xfId="11" applyFont="1" applyBorder="1" applyAlignment="1">
      <alignment horizontal="center"/>
    </xf>
    <xf numFmtId="0" fontId="5" fillId="0" borderId="38" xfId="11" applyFont="1" applyBorder="1" applyAlignment="1">
      <alignment horizontal="center"/>
    </xf>
    <xf numFmtId="165" fontId="9" fillId="2" borderId="42" xfId="1" applyNumberFormat="1" applyFont="1" applyFill="1" applyBorder="1" applyAlignment="1">
      <alignment horizontal="right" vertical="center"/>
    </xf>
    <xf numFmtId="165" fontId="9" fillId="3" borderId="42" xfId="1" applyNumberFormat="1" applyFont="1" applyFill="1" applyBorder="1" applyAlignment="1">
      <alignment vertical="center"/>
    </xf>
    <xf numFmtId="172" fontId="9" fillId="0" borderId="42" xfId="1" applyNumberFormat="1" applyFont="1" applyFill="1" applyBorder="1" applyAlignment="1">
      <alignment horizontal="right"/>
    </xf>
    <xf numFmtId="165" fontId="9" fillId="3" borderId="42" xfId="22" applyNumberFormat="1" applyFont="1" applyFill="1" applyBorder="1"/>
    <xf numFmtId="10" fontId="9" fillId="0" borderId="38" xfId="3" quotePrefix="1" applyNumberFormat="1" applyFont="1" applyBorder="1" applyAlignment="1">
      <alignment horizontal="right" vertical="center"/>
    </xf>
    <xf numFmtId="165" fontId="31" fillId="0" borderId="26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14" fillId="0" borderId="26" xfId="1" applyNumberFormat="1" applyFont="1" applyFill="1" applyBorder="1" applyAlignment="1">
      <alignment vertical="center"/>
    </xf>
    <xf numFmtId="168" fontId="5" fillId="0" borderId="25" xfId="0" applyNumberFormat="1" applyFont="1" applyBorder="1" applyAlignment="1">
      <alignment horizontal="center" vertical="center"/>
    </xf>
    <xf numFmtId="164" fontId="5" fillId="0" borderId="2" xfId="2" applyNumberFormat="1" applyFont="1" applyFill="1" applyBorder="1" applyAlignment="1">
      <alignment vertical="center"/>
    </xf>
    <xf numFmtId="0" fontId="5" fillId="0" borderId="0" xfId="11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164" fontId="5" fillId="0" borderId="0" xfId="13" quotePrefix="1" applyNumberFormat="1" applyFont="1" applyFill="1" applyBorder="1" applyAlignment="1">
      <alignment horizontal="right"/>
    </xf>
    <xf numFmtId="0" fontId="7" fillId="0" borderId="0" xfId="0" applyFont="1"/>
    <xf numFmtId="0" fontId="5" fillId="0" borderId="0" xfId="11" quotePrefix="1" applyFont="1" applyAlignment="1">
      <alignment horizontal="center"/>
    </xf>
    <xf numFmtId="168" fontId="5" fillId="0" borderId="0" xfId="11" applyNumberFormat="1" applyFont="1" applyAlignment="1">
      <alignment horizontal="center"/>
    </xf>
    <xf numFmtId="5" fontId="9" fillId="0" borderId="38" xfId="11" applyNumberFormat="1" applyFont="1" applyBorder="1" applyAlignment="1">
      <alignment horizontal="center"/>
    </xf>
    <xf numFmtId="0" fontId="9" fillId="0" borderId="38" xfId="11" applyFont="1" applyBorder="1" applyAlignment="1">
      <alignment horizontal="center"/>
    </xf>
    <xf numFmtId="0" fontId="5" fillId="0" borderId="0" xfId="11" applyFont="1" applyAlignment="1" applyProtection="1">
      <alignment horizontal="center"/>
      <protection locked="0"/>
    </xf>
    <xf numFmtId="0" fontId="18" fillId="0" borderId="0" xfId="11" applyFont="1" applyAlignment="1">
      <alignment horizontal="left"/>
    </xf>
    <xf numFmtId="164" fontId="9" fillId="2" borderId="0" xfId="13" applyNumberFormat="1" applyFont="1" applyFill="1" applyBorder="1" applyAlignment="1" applyProtection="1">
      <alignment horizontal="right" vertical="center"/>
      <protection locked="0"/>
    </xf>
    <xf numFmtId="164" fontId="9" fillId="0" borderId="0" xfId="13" applyNumberFormat="1" applyFont="1" applyFill="1" applyBorder="1" applyAlignment="1" applyProtection="1">
      <alignment horizontal="right"/>
      <protection locked="0"/>
    </xf>
    <xf numFmtId="165" fontId="9" fillId="2" borderId="0" xfId="29" applyNumberFormat="1" applyFont="1" applyFill="1" applyBorder="1" applyAlignment="1" applyProtection="1">
      <alignment horizontal="right" vertical="center"/>
      <protection locked="0"/>
    </xf>
    <xf numFmtId="165" fontId="9" fillId="0" borderId="0" xfId="29" applyNumberFormat="1" applyFont="1" applyFill="1" applyBorder="1" applyAlignment="1" applyProtection="1">
      <alignment horizontal="right"/>
      <protection locked="0"/>
    </xf>
    <xf numFmtId="165" fontId="9" fillId="2" borderId="38" xfId="29" applyNumberFormat="1" applyFont="1" applyFill="1" applyBorder="1" applyAlignment="1" applyProtection="1">
      <alignment horizontal="right" vertical="center"/>
      <protection locked="0"/>
    </xf>
    <xf numFmtId="164" fontId="9" fillId="0" borderId="21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/>
    </xf>
    <xf numFmtId="165" fontId="5" fillId="0" borderId="0" xfId="29" applyNumberFormat="1" applyFont="1" applyFill="1" applyAlignment="1" applyProtection="1">
      <alignment horizontal="center" vertical="center"/>
    </xf>
    <xf numFmtId="165" fontId="5" fillId="0" borderId="0" xfId="29" applyNumberFormat="1" applyFont="1" applyFill="1" applyAlignment="1" applyProtection="1">
      <alignment horizontal="center"/>
    </xf>
    <xf numFmtId="164" fontId="9" fillId="2" borderId="0" xfId="13" applyNumberFormat="1" applyFont="1" applyFill="1" applyBorder="1" applyAlignment="1" applyProtection="1">
      <alignment horizontal="center" vertical="center"/>
    </xf>
    <xf numFmtId="43" fontId="9" fillId="2" borderId="0" xfId="29" applyFont="1" applyFill="1" applyBorder="1" applyAlignment="1" applyProtection="1">
      <alignment horizontal="center" vertical="center"/>
    </xf>
    <xf numFmtId="164" fontId="9" fillId="0" borderId="21" xfId="13" applyNumberFormat="1" applyFont="1" applyFill="1" applyBorder="1" applyAlignment="1" applyProtection="1">
      <alignment horizontal="center" vertical="center"/>
    </xf>
    <xf numFmtId="164" fontId="5" fillId="0" borderId="0" xfId="13" applyNumberFormat="1" applyFont="1" applyFill="1" applyBorder="1" applyAlignment="1" applyProtection="1">
      <alignment horizontal="center"/>
    </xf>
    <xf numFmtId="164" fontId="5" fillId="0" borderId="0" xfId="13" quotePrefix="1" applyNumberFormat="1" applyFont="1" applyFill="1" applyBorder="1" applyAlignment="1">
      <alignment horizontal="right" vertical="center"/>
    </xf>
    <xf numFmtId="164" fontId="9" fillId="2" borderId="0" xfId="13" applyNumberFormat="1" applyFont="1" applyFill="1" applyBorder="1" applyAlignment="1" applyProtection="1">
      <alignment horizontal="right" vertical="center"/>
    </xf>
    <xf numFmtId="43" fontId="9" fillId="2" borderId="0" xfId="29" applyFont="1" applyFill="1" applyBorder="1" applyAlignment="1" applyProtection="1">
      <alignment horizontal="right" vertical="center"/>
    </xf>
    <xf numFmtId="165" fontId="5" fillId="0" borderId="0" xfId="29" applyNumberFormat="1" applyFont="1" applyFill="1" applyAlignment="1" applyProtection="1">
      <alignment horizontal="right" vertical="center"/>
    </xf>
    <xf numFmtId="165" fontId="5" fillId="0" borderId="0" xfId="29" applyNumberFormat="1" applyFont="1" applyFill="1" applyAlignment="1" applyProtection="1">
      <alignment horizontal="right"/>
    </xf>
    <xf numFmtId="165" fontId="5" fillId="2" borderId="38" xfId="29" applyNumberFormat="1" applyFont="1" applyFill="1" applyBorder="1" applyAlignment="1" applyProtection="1">
      <alignment horizontal="right" vertical="center"/>
      <protection locked="0"/>
    </xf>
    <xf numFmtId="164" fontId="5" fillId="0" borderId="21" xfId="13" applyNumberFormat="1" applyFont="1" applyFill="1" applyBorder="1" applyAlignment="1" applyProtection="1">
      <alignment horizontal="right" vertical="center"/>
    </xf>
    <xf numFmtId="165" fontId="5" fillId="0" borderId="0" xfId="29" applyNumberFormat="1" applyFont="1" applyFill="1" applyBorder="1" applyAlignment="1" applyProtection="1">
      <alignment horizontal="center" vertical="center"/>
    </xf>
    <xf numFmtId="165" fontId="5" fillId="0" borderId="0" xfId="29" applyNumberFormat="1" applyFont="1" applyFill="1" applyBorder="1" applyAlignment="1" applyProtection="1">
      <alignment horizontal="center"/>
    </xf>
    <xf numFmtId="165" fontId="5" fillId="2" borderId="38" xfId="29" applyNumberFormat="1" applyFont="1" applyFill="1" applyBorder="1" applyAlignment="1" applyProtection="1">
      <alignment horizontal="center" vertical="center"/>
    </xf>
    <xf numFmtId="164" fontId="5" fillId="0" borderId="2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 vertical="center"/>
    </xf>
    <xf numFmtId="164" fontId="9" fillId="4" borderId="0" xfId="13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</xf>
    <xf numFmtId="165" fontId="9" fillId="4" borderId="0" xfId="29" applyNumberFormat="1" applyFont="1" applyFill="1" applyBorder="1" applyAlignment="1" applyProtection="1">
      <alignment horizontal="right" vertical="center"/>
    </xf>
    <xf numFmtId="165" fontId="9" fillId="4" borderId="38" xfId="29" applyNumberFormat="1" applyFont="1" applyFill="1" applyBorder="1" applyAlignment="1" applyProtection="1">
      <alignment horizontal="right" vertical="center"/>
    </xf>
    <xf numFmtId="164" fontId="9" fillId="4" borderId="2" xfId="13" applyNumberFormat="1" applyFont="1" applyFill="1" applyBorder="1" applyAlignment="1" applyProtection="1">
      <alignment horizontal="right" vertical="center"/>
    </xf>
    <xf numFmtId="164" fontId="9" fillId="2" borderId="0" xfId="13" applyNumberFormat="1" applyFont="1" applyFill="1" applyAlignment="1" applyProtection="1">
      <alignment horizontal="right" vertical="center"/>
    </xf>
    <xf numFmtId="6" fontId="5" fillId="0" borderId="0" xfId="11" applyNumberFormat="1" applyFont="1"/>
    <xf numFmtId="0" fontId="9" fillId="0" borderId="0" xfId="33" applyFont="1"/>
    <xf numFmtId="165" fontId="9" fillId="2" borderId="0" xfId="29" applyNumberFormat="1" applyFont="1" applyFill="1" applyAlignment="1" applyProtection="1">
      <alignment horizontal="right" vertical="center"/>
    </xf>
    <xf numFmtId="10" fontId="5" fillId="0" borderId="0" xfId="30" applyNumberFormat="1" applyFont="1"/>
    <xf numFmtId="165" fontId="9" fillId="2" borderId="38" xfId="29" applyNumberFormat="1" applyFont="1" applyFill="1" applyBorder="1" applyAlignment="1" applyProtection="1">
      <alignment horizontal="right" vertical="center"/>
    </xf>
    <xf numFmtId="168" fontId="5" fillId="0" borderId="0" xfId="11" applyNumberFormat="1" applyFont="1" applyAlignment="1">
      <alignment horizontal="center" vertical="center"/>
    </xf>
    <xf numFmtId="6" fontId="9" fillId="0" borderId="0" xfId="11" applyNumberFormat="1" applyFont="1"/>
    <xf numFmtId="164" fontId="9" fillId="0" borderId="0" xfId="13" applyNumberFormat="1" applyFont="1" applyFill="1" applyAlignment="1" applyProtection="1">
      <alignment horizontal="right" vertical="center"/>
    </xf>
    <xf numFmtId="164" fontId="9" fillId="0" borderId="0" xfId="13" applyNumberFormat="1" applyFont="1" applyFill="1" applyAlignment="1" applyProtection="1">
      <alignment horizontal="right"/>
    </xf>
    <xf numFmtId="165" fontId="9" fillId="0" borderId="0" xfId="29" applyNumberFormat="1" applyFont="1" applyFill="1" applyAlignment="1" applyProtection="1">
      <alignment horizontal="right" vertical="center"/>
    </xf>
    <xf numFmtId="165" fontId="9" fillId="0" borderId="0" xfId="29" applyNumberFormat="1" applyFont="1" applyFill="1" applyAlignment="1" applyProtection="1">
      <alignment horizontal="right"/>
    </xf>
    <xf numFmtId="165" fontId="9" fillId="0" borderId="38" xfId="29" applyNumberFormat="1" applyFont="1" applyFill="1" applyBorder="1" applyAlignment="1" applyProtection="1">
      <alignment horizontal="right" vertical="center"/>
    </xf>
    <xf numFmtId="165" fontId="9" fillId="0" borderId="0" xfId="29" applyNumberFormat="1" applyFont="1" applyFill="1" applyBorder="1" applyAlignment="1" applyProtection="1">
      <alignment horizontal="right"/>
    </xf>
    <xf numFmtId="164" fontId="9" fillId="0" borderId="20" xfId="13" applyNumberFormat="1" applyFont="1" applyFill="1" applyBorder="1" applyAlignment="1" applyProtection="1">
      <alignment horizontal="right" vertical="center"/>
    </xf>
    <xf numFmtId="164" fontId="9" fillId="0" borderId="2" xfId="13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0" xfId="4" applyFont="1" applyAlignment="1">
      <alignment horizontal="left"/>
    </xf>
    <xf numFmtId="164" fontId="3" fillId="0" borderId="0" xfId="2" applyNumberFormat="1" applyFont="1" applyBorder="1"/>
    <xf numFmtId="0" fontId="9" fillId="0" borderId="0" xfId="0" applyFont="1" applyBorder="1" applyAlignment="1">
      <alignment horizontal="center"/>
    </xf>
    <xf numFmtId="165" fontId="9" fillId="3" borderId="38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9" fillId="0" borderId="10" xfId="11" applyFont="1" applyBorder="1" applyAlignment="1">
      <alignment horizontal="center"/>
    </xf>
    <xf numFmtId="0" fontId="9" fillId="0" borderId="11" xfId="11" applyFont="1" applyBorder="1" applyAlignment="1">
      <alignment horizont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38" xfId="1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65" fontId="7" fillId="0" borderId="0" xfId="1" applyNumberFormat="1" applyFont="1" applyFill="1" applyBorder="1" applyAlignment="1">
      <alignment vertical="center"/>
    </xf>
    <xf numFmtId="10" fontId="9" fillId="3" borderId="0" xfId="3" applyNumberFormat="1" applyFont="1" applyFill="1" applyBorder="1"/>
    <xf numFmtId="164" fontId="7" fillId="0" borderId="0" xfId="2" applyNumberFormat="1" applyFont="1" applyAlignment="1">
      <alignment horizontal="center" vertical="center"/>
    </xf>
    <xf numFmtId="164" fontId="7" fillId="0" borderId="0" xfId="2" applyNumberFormat="1" applyFont="1" applyAlignment="1">
      <alignment horizontal="right" vertical="center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right" vertical="center"/>
    </xf>
    <xf numFmtId="10" fontId="7" fillId="0" borderId="0" xfId="3" applyNumberFormat="1" applyFont="1" applyAlignment="1">
      <alignment vertical="center"/>
    </xf>
    <xf numFmtId="175" fontId="7" fillId="0" borderId="0" xfId="3" applyNumberFormat="1" applyFont="1" applyAlignment="1">
      <alignment vertical="center"/>
    </xf>
    <xf numFmtId="165" fontId="7" fillId="0" borderId="38" xfId="1" applyNumberFormat="1" applyFont="1" applyFill="1" applyBorder="1" applyAlignment="1">
      <alignment vertical="center"/>
    </xf>
    <xf numFmtId="10" fontId="9" fillId="3" borderId="38" xfId="3" applyNumberFormat="1" applyFont="1" applyFill="1" applyBorder="1"/>
    <xf numFmtId="165" fontId="7" fillId="0" borderId="38" xfId="1" applyNumberFormat="1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164" fontId="7" fillId="0" borderId="20" xfId="2" applyNumberFormat="1" applyFont="1" applyFill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176" fontId="9" fillId="0" borderId="0" xfId="2" applyNumberFormat="1" applyFont="1" applyFill="1" applyAlignment="1">
      <alignment vertical="center"/>
    </xf>
    <xf numFmtId="177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71" fontId="3" fillId="0" borderId="2" xfId="2" applyNumberFormat="1" applyFont="1" applyBorder="1"/>
    <xf numFmtId="164" fontId="9" fillId="0" borderId="2" xfId="21" applyNumberFormat="1" applyFont="1" applyBorder="1" applyAlignment="1">
      <alignment horizontal="right"/>
    </xf>
    <xf numFmtId="164" fontId="7" fillId="0" borderId="0" xfId="2" applyNumberFormat="1" applyFont="1" applyFill="1" applyBorder="1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2" fontId="5" fillId="2" borderId="0" xfId="23" applyNumberFormat="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23" applyFont="1" applyAlignment="1">
      <alignment horizontal="center"/>
    </xf>
    <xf numFmtId="0" fontId="5" fillId="0" borderId="0" xfId="23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5" fillId="3" borderId="0" xfId="25" applyFont="1" applyFill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5" fillId="0" borderId="0" xfId="11" applyFont="1"/>
    <xf numFmtId="0" fontId="5" fillId="2" borderId="0" xfId="11" applyFont="1" applyFill="1" applyAlignment="1">
      <alignment horizontal="center"/>
    </xf>
    <xf numFmtId="0" fontId="5" fillId="2" borderId="0" xfId="11" applyFont="1" applyFill="1"/>
    <xf numFmtId="0" fontId="5" fillId="0" borderId="0" xfId="11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34">
    <cellStyle name="Comma" xfId="1" builtinId="3"/>
    <cellStyle name="Comma 2" xfId="9" xr:uid="{E218AF85-C6C9-44D7-9826-DAAE82C52D81}"/>
    <cellStyle name="Comma 2 10 2" xfId="29" xr:uid="{1A440B24-83E7-48A9-BF3F-43DED02E8437}"/>
    <cellStyle name="Comma 2 2" xfId="14" xr:uid="{AF071F67-3B0C-4EA1-BB2D-77CA586E1771}"/>
    <cellStyle name="Comma 4" xfId="6" xr:uid="{B22F5E81-ABE4-4EEE-9861-61D4A72D0EC8}"/>
    <cellStyle name="Comma 79" xfId="22" xr:uid="{70FD1783-1E2A-4A0C-8E08-8B8328F1C457}"/>
    <cellStyle name="Currency" xfId="2" builtinId="4"/>
    <cellStyle name="Currency 2" xfId="7" xr:uid="{2FB3A6EC-A591-418E-AE53-135728C8FF55}"/>
    <cellStyle name="Currency 2 2" xfId="13" xr:uid="{BE5CA40B-4EF2-46C0-ACCA-0BF3AC0AF312}"/>
    <cellStyle name="Currency 4" xfId="5" xr:uid="{0A571740-701C-4662-8164-0257FFEF0B5F}"/>
    <cellStyle name="Currency 4 3" xfId="21" xr:uid="{9B1E9624-E95D-4E37-A9D6-EFEB828EBEA8}"/>
    <cellStyle name="Normal" xfId="0" builtinId="0"/>
    <cellStyle name="Normal 10 18" xfId="26" xr:uid="{28E62634-0252-4126-95EF-F50304483256}"/>
    <cellStyle name="Normal 12 4" xfId="32" xr:uid="{E01B4A8D-A77C-4E1B-B7FA-765F95B4B0B3}"/>
    <cellStyle name="Normal 2" xfId="11" xr:uid="{CF6AB890-B773-46E7-BCE6-08FB6AEB0DA0}"/>
    <cellStyle name="Normal 2 2 2" xfId="17" xr:uid="{92A4FFDA-8860-4BAD-9EAB-44F0DE9FCFF8}"/>
    <cellStyle name="Normal 2 2 2 2" xfId="25" xr:uid="{32CDF306-7647-4DCA-AE08-C65B8D466C60}"/>
    <cellStyle name="Normal 2 2 6" xfId="27" xr:uid="{CCAFE435-1243-4CED-981B-645B00CA3137}"/>
    <cellStyle name="Normal 29" xfId="19" xr:uid="{6A52BBCB-32F0-4AFA-B971-925038B08277}"/>
    <cellStyle name="Normal 3 2" xfId="18" xr:uid="{03100693-46EF-4B5B-9F9D-D6D3C25C0406}"/>
    <cellStyle name="Normal 3 2 2" xfId="28" xr:uid="{69ED09F3-8154-4E45-BE4C-534C12218F5F}"/>
    <cellStyle name="Normal 4" xfId="4" xr:uid="{43D116BF-F776-4CC1-8D01-7D68022FBD06}"/>
    <cellStyle name="Normal 72" xfId="33" xr:uid="{CEB114C6-1808-46DE-9448-99DA392C50BD}"/>
    <cellStyle name="Normal 8" xfId="12" xr:uid="{58534AD9-7916-478A-A9F1-0462037A1FEC}"/>
    <cellStyle name="Normal 9" xfId="8" xr:uid="{93A86AC0-49E3-4B08-85E9-0569D134CF47}"/>
    <cellStyle name="Normal 9 6" xfId="31" xr:uid="{1BD78D70-AA43-4588-A83F-7E19D6F844BC}"/>
    <cellStyle name="Normal_A&amp;gallc1999" xfId="16" xr:uid="{2FFB1A0F-1F23-429E-960E-C59C7E6D56EA}"/>
    <cellStyle name="Normal_Statement BK (2008)" xfId="23" xr:uid="{CAC8C099-7813-48D2-880B-DED03A5BA36E}"/>
    <cellStyle name="Percent" xfId="3" builtinId="5"/>
    <cellStyle name="Percent 10" xfId="24" xr:uid="{B490E828-D192-4B31-8202-A310DC6CA985}"/>
    <cellStyle name="Percent 2" xfId="10" xr:uid="{68EB3EBF-0DBC-4DCD-9C99-F0A5ACE39AE1}"/>
    <cellStyle name="Percent 2 2 2 5" xfId="30" xr:uid="{7D4F2786-915E-414B-845A-E96F963CFB53}"/>
    <cellStyle name="Percent 2 2 7" xfId="20" xr:uid="{5A9F584C-5A92-4511-A46C-F74B3A7E28AD}"/>
    <cellStyle name="Percent 3" xfId="15" xr:uid="{FBAD6B6B-6164-430F-99AF-69F81C056F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1143000</xdr:colOff>
      <xdr:row>13</xdr:row>
      <xdr:rowOff>17859</xdr:rowOff>
    </xdr:from>
    <xdr:to>
      <xdr:col>8</xdr:col>
      <xdr:colOff>35720</xdr:colOff>
      <xdr:row>14</xdr:row>
      <xdr:rowOff>219076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DEC6A6A2-5EAE-4ED0-8F33-4CFD8BD42A26}"/>
            </a:ext>
          </a:extLst>
        </xdr:cNvPr>
        <xdr:cNvSpPr/>
      </xdr:nvSpPr>
      <xdr:spPr>
        <a:xfrm>
          <a:off x="10772775" y="2665809"/>
          <a:ext cx="97633" cy="42029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1139825</xdr:colOff>
      <xdr:row>13</xdr:row>
      <xdr:rowOff>17859</xdr:rowOff>
    </xdr:from>
    <xdr:to>
      <xdr:col>8</xdr:col>
      <xdr:colOff>32545</xdr:colOff>
      <xdr:row>14</xdr:row>
      <xdr:rowOff>219076</xdr:rowOff>
    </xdr:to>
    <xdr:sp macro="" textlink="">
      <xdr:nvSpPr>
        <xdr:cNvPr id="5" name="Right Brace 2">
          <a:extLst>
            <a:ext uri="{FF2B5EF4-FFF2-40B4-BE49-F238E27FC236}">
              <a16:creationId xmlns:a16="http://schemas.microsoft.com/office/drawing/2014/main" id="{0866F8C7-E837-492E-B6E4-34A5844787E7}"/>
            </a:ext>
          </a:extLst>
        </xdr:cNvPr>
        <xdr:cNvSpPr/>
      </xdr:nvSpPr>
      <xdr:spPr>
        <a:xfrm>
          <a:off x="10521950" y="2744390"/>
          <a:ext cx="59533" cy="42743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1E751C44-6C52-4F89-A527-FD384B936B7D}"/>
            </a:ext>
          </a:extLst>
        </xdr:cNvPr>
        <xdr:cNvSpPr>
          <a:spLocks noChangeShapeType="1"/>
        </xdr:cNvSpPr>
      </xdr:nvSpPr>
      <xdr:spPr bwMode="auto">
        <a:xfrm>
          <a:off x="1898652" y="180784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B0587497-528D-4276-B928-2B831E9AF2FE}"/>
            </a:ext>
          </a:extLst>
        </xdr:cNvPr>
        <xdr:cNvSpPr>
          <a:spLocks noChangeShapeType="1"/>
        </xdr:cNvSpPr>
      </xdr:nvSpPr>
      <xdr:spPr bwMode="auto">
        <a:xfrm>
          <a:off x="1755780" y="20416837"/>
          <a:ext cx="2880994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136</xdr:row>
      <xdr:rowOff>9525</xdr:rowOff>
    </xdr:from>
    <xdr:to>
      <xdr:col>1</xdr:col>
      <xdr:colOff>3581077</xdr:colOff>
      <xdr:row>136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9F568E25-5F73-4787-B797-ADACBD58443F}"/>
            </a:ext>
          </a:extLst>
        </xdr:cNvPr>
        <xdr:cNvSpPr>
          <a:spLocks noChangeShapeType="1"/>
        </xdr:cNvSpPr>
      </xdr:nvSpPr>
      <xdr:spPr bwMode="auto">
        <a:xfrm>
          <a:off x="1898652" y="26998613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136</xdr:row>
      <xdr:rowOff>9525</xdr:rowOff>
    </xdr:from>
    <xdr:to>
      <xdr:col>1</xdr:col>
      <xdr:colOff>3581077</xdr:colOff>
      <xdr:row>136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7F8A05FF-FDB3-45CC-8BBD-0D552E185006}"/>
            </a:ext>
          </a:extLst>
        </xdr:cNvPr>
        <xdr:cNvSpPr>
          <a:spLocks noChangeShapeType="1"/>
        </xdr:cNvSpPr>
      </xdr:nvSpPr>
      <xdr:spPr bwMode="auto">
        <a:xfrm>
          <a:off x="1898652" y="26998613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148</xdr:row>
      <xdr:rowOff>-1</xdr:rowOff>
    </xdr:from>
    <xdr:to>
      <xdr:col>2</xdr:col>
      <xdr:colOff>312424</xdr:colOff>
      <xdr:row>148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2586C438-5324-411A-B048-DCE98F9301B9}"/>
            </a:ext>
          </a:extLst>
        </xdr:cNvPr>
        <xdr:cNvSpPr>
          <a:spLocks noChangeShapeType="1"/>
        </xdr:cNvSpPr>
      </xdr:nvSpPr>
      <xdr:spPr bwMode="auto">
        <a:xfrm>
          <a:off x="1755780" y="29332237"/>
          <a:ext cx="2880994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tabSelected="1" zoomScale="80" zoomScaleNormal="80" workbookViewId="0"/>
  </sheetViews>
  <sheetFormatPr defaultColWidth="9.19921875" defaultRowHeight="14.25" x14ac:dyDescent="0.45"/>
  <cols>
    <col min="1" max="1" width="4.796875" style="1" bestFit="1" customWidth="1"/>
    <col min="2" max="2" width="71.53125" style="1" customWidth="1"/>
    <col min="3" max="3" width="1.59765625" style="1" customWidth="1"/>
    <col min="4" max="4" width="20.796875" style="1" customWidth="1"/>
    <col min="5" max="5" width="1.53125" style="1" customWidth="1"/>
    <col min="6" max="6" width="40.53125" style="1" customWidth="1"/>
    <col min="7" max="7" width="4.796875" style="1" customWidth="1"/>
    <col min="8" max="16384" width="9.19921875" style="1"/>
  </cols>
  <sheetData>
    <row r="2" spans="1:8" ht="17.25" x14ac:dyDescent="0.45">
      <c r="B2" s="2" t="s">
        <v>0</v>
      </c>
      <c r="C2" s="2"/>
      <c r="D2" s="3"/>
      <c r="E2" s="3"/>
      <c r="F2" s="3"/>
    </row>
    <row r="3" spans="1:8" ht="17.25" x14ac:dyDescent="0.45">
      <c r="B3" s="278" t="s">
        <v>511</v>
      </c>
      <c r="C3" s="2"/>
      <c r="D3" s="3"/>
      <c r="E3" s="3"/>
      <c r="F3" s="3"/>
    </row>
    <row r="4" spans="1:8" ht="17.25" x14ac:dyDescent="0.45">
      <c r="B4" s="798" t="s">
        <v>512</v>
      </c>
      <c r="C4" s="798"/>
      <c r="D4" s="798"/>
      <c r="E4" s="798"/>
      <c r="F4" s="798"/>
    </row>
    <row r="5" spans="1:8" ht="17.25" x14ac:dyDescent="0.45">
      <c r="B5" s="280" t="s">
        <v>513</v>
      </c>
      <c r="C5" s="2"/>
      <c r="D5" s="2"/>
      <c r="E5" s="2"/>
      <c r="F5" s="2"/>
    </row>
    <row r="6" spans="1:8" ht="15.4" x14ac:dyDescent="0.45">
      <c r="B6" s="797" t="s">
        <v>1</v>
      </c>
      <c r="C6" s="797"/>
      <c r="D6" s="797"/>
      <c r="E6" s="797"/>
      <c r="F6" s="797"/>
      <c r="G6" s="4"/>
      <c r="H6" s="4"/>
    </row>
    <row r="7" spans="1:8" ht="15.4" x14ac:dyDescent="0.45">
      <c r="B7" s="5"/>
      <c r="C7" s="5"/>
      <c r="D7" s="6"/>
      <c r="E7" s="7"/>
      <c r="F7" s="5"/>
      <c r="G7" s="5"/>
    </row>
    <row r="8" spans="1:8" ht="15.4" x14ac:dyDescent="0.45">
      <c r="A8" s="8" t="s">
        <v>2</v>
      </c>
      <c r="G8" s="8" t="s">
        <v>2</v>
      </c>
    </row>
    <row r="9" spans="1:8" ht="15.4" x14ac:dyDescent="0.45">
      <c r="A9" s="11" t="s">
        <v>6</v>
      </c>
      <c r="B9" s="9" t="s">
        <v>3</v>
      </c>
      <c r="C9" s="9"/>
      <c r="D9" s="9" t="s">
        <v>4</v>
      </c>
      <c r="E9" s="10"/>
      <c r="F9" s="9" t="s">
        <v>5</v>
      </c>
      <c r="G9" s="11" t="s">
        <v>6</v>
      </c>
    </row>
    <row r="10" spans="1:8" ht="15.4" x14ac:dyDescent="0.45">
      <c r="A10" s="761"/>
      <c r="B10" s="5"/>
      <c r="C10" s="5"/>
      <c r="D10" s="12"/>
      <c r="E10" s="12"/>
      <c r="F10" s="12"/>
      <c r="G10" s="761"/>
    </row>
    <row r="11" spans="1:8" ht="15.4" x14ac:dyDescent="0.45">
      <c r="A11" s="8">
        <v>1</v>
      </c>
      <c r="B11" s="7" t="s">
        <v>514</v>
      </c>
      <c r="C11" s="7"/>
      <c r="D11" s="12"/>
      <c r="E11" s="12"/>
      <c r="F11" s="12"/>
      <c r="G11" s="8">
        <v>1</v>
      </c>
    </row>
    <row r="12" spans="1:8" ht="15.4" x14ac:dyDescent="0.45">
      <c r="A12" s="8">
        <f>A11+1</f>
        <v>2</v>
      </c>
      <c r="B12" s="7"/>
      <c r="C12" s="7"/>
      <c r="D12" s="12"/>
      <c r="E12" s="12"/>
      <c r="F12" s="12"/>
      <c r="G12" s="8">
        <f>G11+1</f>
        <v>2</v>
      </c>
    </row>
    <row r="13" spans="1:8" ht="30.75" x14ac:dyDescent="0.45">
      <c r="A13" s="45">
        <f>A12+1</f>
        <v>3</v>
      </c>
      <c r="B13" s="286" t="s">
        <v>273</v>
      </c>
      <c r="C13" s="13"/>
      <c r="D13" s="14">
        <f>'Pg2 Appendix XII C3 Comparison'!G28</f>
        <v>-20.976465003062458</v>
      </c>
      <c r="E13" s="14"/>
      <c r="F13" s="12" t="s">
        <v>515</v>
      </c>
      <c r="G13" s="45">
        <f>G12+1</f>
        <v>3</v>
      </c>
    </row>
    <row r="14" spans="1:8" ht="15.4" x14ac:dyDescent="0.45">
      <c r="A14" s="8">
        <f t="shared" ref="A14:A21" si="0">A13+1</f>
        <v>4</v>
      </c>
      <c r="B14" s="5"/>
      <c r="C14" s="12"/>
      <c r="D14" s="14"/>
      <c r="E14" s="14"/>
      <c r="F14" s="12"/>
      <c r="G14" s="8">
        <f t="shared" ref="G14:G21" si="1">G13+1</f>
        <v>4</v>
      </c>
    </row>
    <row r="15" spans="1:8" ht="15.4" x14ac:dyDescent="0.45">
      <c r="A15" s="8">
        <f t="shared" si="0"/>
        <v>5</v>
      </c>
      <c r="B15" s="5" t="s">
        <v>8</v>
      </c>
      <c r="C15" s="12"/>
      <c r="D15" s="15">
        <f>'Pg11 Appendix XII C3 Int Calc'!G54</f>
        <v>-2.2340275502757292</v>
      </c>
      <c r="E15" s="16"/>
      <c r="F15" s="12" t="s">
        <v>516</v>
      </c>
      <c r="G15" s="8">
        <f t="shared" si="1"/>
        <v>5</v>
      </c>
    </row>
    <row r="16" spans="1:8" ht="15.4" x14ac:dyDescent="0.45">
      <c r="A16" s="8">
        <f t="shared" si="0"/>
        <v>6</v>
      </c>
      <c r="B16" s="5"/>
      <c r="C16" s="12"/>
      <c r="D16" s="17"/>
      <c r="E16" s="17"/>
      <c r="F16" s="12"/>
      <c r="G16" s="8">
        <f t="shared" si="1"/>
        <v>6</v>
      </c>
    </row>
    <row r="17" spans="1:7" ht="15.4" x14ac:dyDescent="0.45">
      <c r="A17" s="8">
        <f t="shared" si="0"/>
        <v>7</v>
      </c>
      <c r="B17" s="759" t="s">
        <v>289</v>
      </c>
      <c r="C17" s="10"/>
      <c r="D17" s="760">
        <f>D13+D15</f>
        <v>-23.210492553338188</v>
      </c>
      <c r="E17" s="14"/>
      <c r="F17" s="12" t="s">
        <v>496</v>
      </c>
      <c r="G17" s="8">
        <f t="shared" si="1"/>
        <v>7</v>
      </c>
    </row>
    <row r="18" spans="1:7" ht="15.4" x14ac:dyDescent="0.45">
      <c r="A18" s="8">
        <f t="shared" si="0"/>
        <v>8</v>
      </c>
      <c r="B18" s="5"/>
      <c r="C18" s="12"/>
      <c r="D18" s="279"/>
      <c r="E18" s="5"/>
      <c r="F18" s="5"/>
      <c r="G18" s="8">
        <f t="shared" si="1"/>
        <v>8</v>
      </c>
    </row>
    <row r="19" spans="1:7" ht="15.4" x14ac:dyDescent="0.45">
      <c r="A19" s="8">
        <f t="shared" si="0"/>
        <v>9</v>
      </c>
      <c r="B19" s="412" t="s">
        <v>287</v>
      </c>
      <c r="C19" s="12"/>
      <c r="D19" s="678">
        <v>12</v>
      </c>
      <c r="E19" s="5"/>
      <c r="F19" s="5"/>
      <c r="G19" s="8">
        <f t="shared" si="1"/>
        <v>9</v>
      </c>
    </row>
    <row r="20" spans="1:7" ht="15.4" x14ac:dyDescent="0.45">
      <c r="A20" s="8">
        <f t="shared" si="0"/>
        <v>10</v>
      </c>
      <c r="B20" s="5"/>
      <c r="C20" s="12"/>
      <c r="D20" s="279"/>
      <c r="E20" s="5"/>
      <c r="F20" s="5"/>
      <c r="G20" s="8">
        <f t="shared" si="1"/>
        <v>10</v>
      </c>
    </row>
    <row r="21" spans="1:7" ht="15.75" thickBot="1" x14ac:dyDescent="0.5">
      <c r="A21" s="8">
        <f t="shared" si="0"/>
        <v>11</v>
      </c>
      <c r="B21" s="759" t="s">
        <v>449</v>
      </c>
      <c r="C21" s="5"/>
      <c r="D21" s="794">
        <f>D17/12</f>
        <v>-1.9342077127781823</v>
      </c>
      <c r="E21" s="5"/>
      <c r="F21" s="12" t="s">
        <v>497</v>
      </c>
      <c r="G21" s="8">
        <f t="shared" si="1"/>
        <v>11</v>
      </c>
    </row>
    <row r="22" spans="1:7" ht="15.75" thickTop="1" x14ac:dyDescent="0.45">
      <c r="A22" s="8"/>
      <c r="B22" s="281"/>
      <c r="C22" s="5"/>
      <c r="D22" s="677"/>
      <c r="E22" s="5"/>
      <c r="F22" s="5"/>
      <c r="G22" s="5"/>
    </row>
    <row r="23" spans="1:7" ht="15.4" x14ac:dyDescent="0.45">
      <c r="B23" s="5"/>
      <c r="C23" s="5"/>
      <c r="D23" s="5"/>
      <c r="E23" s="5"/>
      <c r="F23" s="5"/>
      <c r="G23" s="5"/>
    </row>
    <row r="24" spans="1:7" ht="16.149999999999999" x14ac:dyDescent="0.45">
      <c r="A24" s="18">
        <v>1</v>
      </c>
      <c r="B24" s="19" t="s">
        <v>450</v>
      </c>
      <c r="C24" s="5"/>
      <c r="D24" s="5"/>
      <c r="E24" s="5"/>
      <c r="F24" s="5"/>
      <c r="G24" s="5"/>
    </row>
    <row r="25" spans="1:7" ht="15.4" x14ac:dyDescent="0.45">
      <c r="B25" s="19" t="s">
        <v>650</v>
      </c>
      <c r="C25" s="5"/>
      <c r="D25" s="5"/>
      <c r="E25" s="5"/>
      <c r="F25" s="5"/>
      <c r="G25" s="5"/>
    </row>
    <row r="26" spans="1:7" ht="15.4" x14ac:dyDescent="0.45">
      <c r="B26" s="5"/>
      <c r="C26" s="5"/>
      <c r="D26" s="5"/>
      <c r="E26" s="5"/>
      <c r="F26" s="5"/>
      <c r="G26" s="5"/>
    </row>
    <row r="27" spans="1:7" ht="15.4" x14ac:dyDescent="0.45">
      <c r="B27" s="5"/>
      <c r="C27" s="5"/>
      <c r="D27" s="5"/>
      <c r="E27" s="5"/>
      <c r="F27" s="5"/>
      <c r="G27" s="5"/>
    </row>
    <row r="28" spans="1:7" ht="15.4" x14ac:dyDescent="0.45">
      <c r="B28" s="5"/>
      <c r="C28" s="5"/>
      <c r="D28" s="5"/>
      <c r="E28" s="5"/>
      <c r="F28" s="5"/>
      <c r="G28" s="5"/>
    </row>
    <row r="29" spans="1:7" ht="16.149999999999999" x14ac:dyDescent="0.45">
      <c r="A29" s="18"/>
      <c r="B29" s="5"/>
      <c r="C29" s="5"/>
      <c r="D29" s="5"/>
      <c r="E29" s="5"/>
      <c r="F29" s="5"/>
      <c r="G29" s="5"/>
    </row>
    <row r="30" spans="1:7" ht="15.4" x14ac:dyDescent="0.45">
      <c r="B30" s="5"/>
      <c r="C30" s="5"/>
      <c r="D30" s="5"/>
      <c r="E30" s="5"/>
      <c r="F30" s="5"/>
      <c r="G30" s="5"/>
    </row>
    <row r="31" spans="1:7" ht="15.4" x14ac:dyDescent="0.45">
      <c r="B31" s="5"/>
      <c r="C31" s="5"/>
      <c r="D31" s="5"/>
      <c r="E31" s="5"/>
      <c r="F31" s="5"/>
      <c r="G31" s="5"/>
    </row>
    <row r="32" spans="1:7" ht="15.4" x14ac:dyDescent="0.45">
      <c r="B32" s="5"/>
      <c r="C32" s="5"/>
      <c r="D32" s="5"/>
      <c r="E32" s="5"/>
      <c r="F32" s="5"/>
      <c r="G32" s="5"/>
    </row>
    <row r="33" spans="2:7" ht="15.4" x14ac:dyDescent="0.45">
      <c r="B33" s="5"/>
      <c r="C33" s="5"/>
      <c r="D33" s="5"/>
      <c r="E33" s="5"/>
      <c r="F33" s="5"/>
      <c r="G33" s="5"/>
    </row>
    <row r="34" spans="2:7" ht="15.4" x14ac:dyDescent="0.45">
      <c r="B34" s="5"/>
      <c r="C34" s="5"/>
      <c r="D34" s="5"/>
      <c r="E34" s="5"/>
      <c r="F34" s="5"/>
      <c r="G34" s="5"/>
    </row>
    <row r="35" spans="2:7" ht="15.4" x14ac:dyDescent="0.45">
      <c r="B35" s="5"/>
      <c r="C35" s="5"/>
      <c r="D35" s="5"/>
      <c r="E35" s="5"/>
      <c r="F35" s="5"/>
      <c r="G35" s="5"/>
    </row>
    <row r="36" spans="2:7" ht="15.4" x14ac:dyDescent="0.45">
      <c r="B36" s="5"/>
      <c r="C36" s="5"/>
      <c r="D36" s="5"/>
      <c r="E36" s="5"/>
      <c r="F36" s="5"/>
      <c r="G36" s="5"/>
    </row>
    <row r="37" spans="2:7" ht="15.4" x14ac:dyDescent="0.45">
      <c r="B37" s="5"/>
      <c r="C37" s="5"/>
      <c r="D37" s="5"/>
      <c r="E37" s="5"/>
      <c r="F37" s="5"/>
      <c r="G37" s="5"/>
    </row>
    <row r="38" spans="2:7" ht="15.4" x14ac:dyDescent="0.45">
      <c r="B38" s="5"/>
      <c r="C38" s="5"/>
      <c r="D38" s="5"/>
      <c r="E38" s="5"/>
      <c r="F38" s="5"/>
      <c r="G38" s="5"/>
    </row>
    <row r="39" spans="2:7" ht="15.4" x14ac:dyDescent="0.45">
      <c r="B39" s="5"/>
      <c r="C39" s="5"/>
      <c r="D39" s="5"/>
      <c r="E39" s="5"/>
      <c r="F39" s="5"/>
      <c r="G39" s="5"/>
    </row>
    <row r="40" spans="2:7" ht="15.4" x14ac:dyDescent="0.45">
      <c r="B40" s="5"/>
      <c r="C40" s="5"/>
      <c r="D40" s="5"/>
      <c r="E40" s="5"/>
      <c r="F40" s="5"/>
      <c r="G40" s="5"/>
    </row>
    <row r="41" spans="2:7" ht="15.4" x14ac:dyDescent="0.45">
      <c r="B41" s="5"/>
      <c r="C41" s="5"/>
      <c r="D41" s="5"/>
      <c r="E41" s="5"/>
      <c r="F41" s="5"/>
      <c r="G41" s="5"/>
    </row>
  </sheetData>
  <mergeCells count="2">
    <mergeCell ref="B6:F6"/>
    <mergeCell ref="B4:F4"/>
  </mergeCells>
  <printOptions horizontalCentered="1"/>
  <pageMargins left="0.5" right="0.5" top="0.5" bottom="0.5" header="0.25" footer="0.25"/>
  <pageSetup scale="65" orientation="portrait" r:id="rId1"/>
  <headerFooter scaleWithDoc="0" alignWithMargins="0">
    <oddFooter>&amp;CPage 1&amp;R&amp;F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C083-0807-43E6-B5CD-7EC58C5B2545}">
  <sheetPr>
    <pageSetUpPr fitToPage="1"/>
  </sheetPr>
  <dimension ref="A1:K34"/>
  <sheetViews>
    <sheetView zoomScale="80" zoomScaleNormal="80" workbookViewId="0"/>
  </sheetViews>
  <sheetFormatPr defaultColWidth="8.86328125" defaultRowHeight="15.4" x14ac:dyDescent="0.45"/>
  <cols>
    <col min="1" max="1" width="5.1328125" style="688" bestFit="1" customWidth="1"/>
    <col min="2" max="2" width="68.86328125" style="210" customWidth="1"/>
    <col min="3" max="3" width="24" style="211" customWidth="1"/>
    <col min="4" max="4" width="1.59765625" style="210" customWidth="1"/>
    <col min="5" max="5" width="16.86328125" style="210" customWidth="1"/>
    <col min="6" max="6" width="1.59765625" style="210" customWidth="1"/>
    <col min="7" max="7" width="16.86328125" style="210" customWidth="1"/>
    <col min="8" max="8" width="1.59765625" style="210" customWidth="1"/>
    <col min="9" max="9" width="36.1328125" style="210" customWidth="1"/>
    <col min="10" max="10" width="5.1328125" style="210" customWidth="1"/>
    <col min="11" max="16384" width="8.86328125" style="210"/>
  </cols>
  <sheetData>
    <row r="1" spans="1:10" x14ac:dyDescent="0.45">
      <c r="H1" s="688"/>
      <c r="I1" s="702"/>
      <c r="J1" s="688"/>
    </row>
    <row r="2" spans="1:10" x14ac:dyDescent="0.45">
      <c r="B2" s="813" t="s">
        <v>24</v>
      </c>
      <c r="C2" s="814"/>
      <c r="D2" s="814"/>
      <c r="E2" s="814"/>
      <c r="F2" s="814"/>
      <c r="G2" s="814"/>
      <c r="H2" s="814"/>
      <c r="I2" s="814"/>
      <c r="J2" s="687"/>
    </row>
    <row r="3" spans="1:10" x14ac:dyDescent="0.45">
      <c r="B3" s="813" t="s">
        <v>162</v>
      </c>
      <c r="C3" s="814"/>
      <c r="D3" s="814"/>
      <c r="E3" s="814"/>
      <c r="F3" s="814"/>
      <c r="G3" s="814"/>
      <c r="H3" s="814"/>
      <c r="I3" s="814"/>
      <c r="J3" s="687"/>
    </row>
    <row r="4" spans="1:10" x14ac:dyDescent="0.45">
      <c r="B4" s="813" t="s">
        <v>163</v>
      </c>
      <c r="C4" s="814"/>
      <c r="D4" s="814"/>
      <c r="E4" s="814"/>
      <c r="F4" s="814"/>
      <c r="G4" s="814"/>
      <c r="H4" s="814"/>
      <c r="I4" s="814"/>
      <c r="J4" s="687"/>
    </row>
    <row r="5" spans="1:10" x14ac:dyDescent="0.45">
      <c r="B5" s="815" t="s">
        <v>537</v>
      </c>
      <c r="C5" s="815"/>
      <c r="D5" s="815"/>
      <c r="E5" s="815"/>
      <c r="F5" s="815"/>
      <c r="G5" s="815"/>
      <c r="H5" s="815"/>
      <c r="I5" s="815"/>
      <c r="J5" s="687"/>
    </row>
    <row r="6" spans="1:10" x14ac:dyDescent="0.45">
      <c r="B6" s="816" t="s">
        <v>1</v>
      </c>
      <c r="C6" s="816"/>
      <c r="D6" s="816"/>
      <c r="E6" s="816"/>
      <c r="F6" s="816"/>
      <c r="G6" s="816"/>
      <c r="H6" s="816"/>
      <c r="I6" s="816"/>
      <c r="J6" s="212"/>
    </row>
    <row r="7" spans="1:10" x14ac:dyDescent="0.45">
      <c r="B7" s="688"/>
      <c r="D7" s="688"/>
      <c r="E7" s="688"/>
      <c r="F7" s="688"/>
      <c r="G7" s="688"/>
      <c r="H7" s="687"/>
      <c r="I7" s="687"/>
      <c r="J7" s="687"/>
    </row>
    <row r="8" spans="1:10" x14ac:dyDescent="0.45">
      <c r="A8" s="688" t="s">
        <v>2</v>
      </c>
      <c r="B8" s="687"/>
      <c r="C8" s="45" t="s">
        <v>27</v>
      </c>
      <c r="D8" s="688"/>
      <c r="E8" s="688" t="s">
        <v>164</v>
      </c>
      <c r="F8" s="688"/>
      <c r="G8" s="688" t="s">
        <v>165</v>
      </c>
      <c r="H8" s="687"/>
      <c r="I8" s="687"/>
      <c r="J8" s="688" t="s">
        <v>2</v>
      </c>
    </row>
    <row r="9" spans="1:10" x14ac:dyDescent="0.45">
      <c r="A9" s="688" t="s">
        <v>6</v>
      </c>
      <c r="B9" s="687"/>
      <c r="C9" s="567" t="s">
        <v>28</v>
      </c>
      <c r="D9" s="687"/>
      <c r="E9" s="633" t="s">
        <v>166</v>
      </c>
      <c r="F9" s="687"/>
      <c r="G9" s="633" t="s">
        <v>167</v>
      </c>
      <c r="H9" s="687"/>
      <c r="I9" s="634" t="s">
        <v>5</v>
      </c>
      <c r="J9" s="688" t="s">
        <v>6</v>
      </c>
    </row>
    <row r="10" spans="1:10" x14ac:dyDescent="0.45">
      <c r="B10" s="688"/>
      <c r="D10" s="688"/>
      <c r="E10" s="688"/>
      <c r="F10" s="688"/>
      <c r="G10" s="688"/>
      <c r="H10" s="688"/>
      <c r="I10" s="688"/>
      <c r="J10" s="688"/>
    </row>
    <row r="11" spans="1:10" ht="17.25" x14ac:dyDescent="0.45">
      <c r="A11" s="688">
        <v>1</v>
      </c>
      <c r="B11" s="210" t="s">
        <v>168</v>
      </c>
      <c r="C11" s="688" t="s">
        <v>169</v>
      </c>
      <c r="E11" s="635"/>
      <c r="F11" s="213"/>
      <c r="G11" s="475">
        <v>128028.38738461537</v>
      </c>
      <c r="H11" s="213"/>
      <c r="I11" s="72" t="s">
        <v>596</v>
      </c>
      <c r="J11" s="688">
        <f>A11</f>
        <v>1</v>
      </c>
    </row>
    <row r="12" spans="1:10" x14ac:dyDescent="0.45">
      <c r="A12" s="688">
        <f>+A11+1</f>
        <v>2</v>
      </c>
      <c r="C12" s="688"/>
      <c r="E12" s="214"/>
      <c r="F12" s="215"/>
      <c r="G12" s="215"/>
      <c r="H12" s="215"/>
      <c r="I12" s="72"/>
      <c r="J12" s="688">
        <f>+J11+1</f>
        <v>2</v>
      </c>
    </row>
    <row r="13" spans="1:10" x14ac:dyDescent="0.45">
      <c r="A13" s="688">
        <f t="shared" ref="A13:A29" si="0">+A12+1</f>
        <v>3</v>
      </c>
      <c r="B13" s="210" t="s">
        <v>170</v>
      </c>
      <c r="C13" s="688"/>
      <c r="E13" s="216"/>
      <c r="F13" s="217"/>
      <c r="G13" s="636">
        <v>0.39491043746939913</v>
      </c>
      <c r="H13" s="213"/>
      <c r="I13" s="72" t="s">
        <v>597</v>
      </c>
      <c r="J13" s="688">
        <f t="shared" ref="J13:J29" si="1">+J12+1</f>
        <v>3</v>
      </c>
    </row>
    <row r="14" spans="1:10" x14ac:dyDescent="0.45">
      <c r="A14" s="688">
        <f t="shared" si="0"/>
        <v>4</v>
      </c>
      <c r="C14" s="688"/>
      <c r="E14" s="214"/>
      <c r="F14" s="215"/>
      <c r="G14" s="214"/>
      <c r="H14" s="215"/>
      <c r="I14" s="72"/>
      <c r="J14" s="688">
        <f t="shared" si="1"/>
        <v>4</v>
      </c>
    </row>
    <row r="15" spans="1:10" ht="15.75" thickBot="1" x14ac:dyDescent="0.5">
      <c r="A15" s="688">
        <f t="shared" si="0"/>
        <v>5</v>
      </c>
      <c r="B15" s="210" t="s">
        <v>171</v>
      </c>
      <c r="C15" s="688"/>
      <c r="E15" s="637"/>
      <c r="F15" s="215"/>
      <c r="G15" s="638">
        <f>G11*G13</f>
        <v>50559.74647056016</v>
      </c>
      <c r="H15" s="213"/>
      <c r="I15" s="72" t="s">
        <v>598</v>
      </c>
      <c r="J15" s="688">
        <f t="shared" si="1"/>
        <v>5</v>
      </c>
    </row>
    <row r="16" spans="1:10" ht="15.75" thickTop="1" x14ac:dyDescent="0.45">
      <c r="A16" s="688">
        <f t="shared" si="0"/>
        <v>6</v>
      </c>
      <c r="C16" s="688"/>
      <c r="E16" s="639"/>
      <c r="F16" s="688"/>
      <c r="G16" s="688"/>
      <c r="H16" s="688"/>
      <c r="I16" s="72"/>
      <c r="J16" s="688">
        <f t="shared" si="1"/>
        <v>6</v>
      </c>
    </row>
    <row r="17" spans="1:11" ht="17.25" x14ac:dyDescent="0.45">
      <c r="A17" s="688">
        <f t="shared" si="0"/>
        <v>7</v>
      </c>
      <c r="B17" s="210" t="s">
        <v>172</v>
      </c>
      <c r="C17" s="688" t="s">
        <v>173</v>
      </c>
      <c r="D17" s="640"/>
      <c r="E17" s="635"/>
      <c r="F17" s="215"/>
      <c r="G17" s="641">
        <v>64127.97638461538</v>
      </c>
      <c r="H17" s="213"/>
      <c r="I17" s="72" t="s">
        <v>599</v>
      </c>
      <c r="J17" s="688">
        <f t="shared" si="1"/>
        <v>7</v>
      </c>
    </row>
    <row r="18" spans="1:11" x14ac:dyDescent="0.45">
      <c r="A18" s="688">
        <f t="shared" si="0"/>
        <v>8</v>
      </c>
      <c r="C18" s="688"/>
      <c r="E18" s="642"/>
      <c r="F18" s="215"/>
      <c r="G18" s="215"/>
      <c r="H18" s="215"/>
      <c r="I18" s="72"/>
      <c r="J18" s="688">
        <f t="shared" si="1"/>
        <v>8</v>
      </c>
    </row>
    <row r="19" spans="1:11" ht="15.75" thickBot="1" x14ac:dyDescent="0.5">
      <c r="A19" s="688">
        <f t="shared" si="0"/>
        <v>9</v>
      </c>
      <c r="B19" s="210" t="s">
        <v>174</v>
      </c>
      <c r="E19" s="635"/>
      <c r="F19" s="215"/>
      <c r="G19" s="638">
        <f>G13*G17</f>
        <v>25324.807208075756</v>
      </c>
      <c r="H19" s="213"/>
      <c r="I19" s="72" t="s">
        <v>600</v>
      </c>
      <c r="J19" s="688">
        <f t="shared" si="1"/>
        <v>9</v>
      </c>
    </row>
    <row r="20" spans="1:11" ht="15.75" thickTop="1" x14ac:dyDescent="0.45">
      <c r="A20" s="688">
        <f t="shared" si="0"/>
        <v>10</v>
      </c>
      <c r="E20" s="643"/>
      <c r="F20" s="215"/>
      <c r="G20" s="215"/>
      <c r="H20" s="215"/>
      <c r="I20" s="72"/>
      <c r="J20" s="688">
        <f t="shared" si="1"/>
        <v>10</v>
      </c>
    </row>
    <row r="21" spans="1:11" x14ac:dyDescent="0.45">
      <c r="A21" s="688">
        <f t="shared" si="0"/>
        <v>11</v>
      </c>
      <c r="B21" s="218" t="s">
        <v>175</v>
      </c>
      <c r="E21" s="643"/>
      <c r="F21" s="215"/>
      <c r="G21" s="215"/>
      <c r="H21" s="215"/>
      <c r="I21" s="72"/>
      <c r="J21" s="688">
        <f t="shared" si="1"/>
        <v>11</v>
      </c>
    </row>
    <row r="22" spans="1:11" ht="15.75" x14ac:dyDescent="0.5">
      <c r="A22" s="688">
        <f t="shared" si="0"/>
        <v>12</v>
      </c>
      <c r="B22" s="210" t="s">
        <v>176</v>
      </c>
      <c r="E22" s="644">
        <f>'Pg7 Revised Stmt AH'!E28</f>
        <v>33850.143890000007</v>
      </c>
      <c r="F22" s="28" t="s">
        <v>16</v>
      </c>
      <c r="G22" s="487"/>
      <c r="H22" s="215"/>
      <c r="I22" s="72" t="s">
        <v>539</v>
      </c>
      <c r="J22" s="688">
        <f t="shared" si="1"/>
        <v>12</v>
      </c>
    </row>
    <row r="23" spans="1:11" ht="15.75" x14ac:dyDescent="0.5">
      <c r="A23" s="688">
        <f t="shared" si="0"/>
        <v>13</v>
      </c>
      <c r="B23" s="210" t="s">
        <v>177</v>
      </c>
      <c r="E23" s="645">
        <f>'Pg7 Revised Stmt AH'!E51</f>
        <v>38466.228605837343</v>
      </c>
      <c r="F23" s="28" t="s">
        <v>16</v>
      </c>
      <c r="G23" s="646"/>
      <c r="H23" s="215"/>
      <c r="I23" s="72" t="s">
        <v>541</v>
      </c>
      <c r="J23" s="688">
        <f t="shared" si="1"/>
        <v>13</v>
      </c>
    </row>
    <row r="24" spans="1:11" x14ac:dyDescent="0.45">
      <c r="A24" s="688">
        <f t="shared" si="0"/>
        <v>14</v>
      </c>
      <c r="B24" s="210" t="s">
        <v>178</v>
      </c>
      <c r="E24" s="647">
        <f>-'Pg7 Revised Stmt AH'!E35</f>
        <v>0</v>
      </c>
      <c r="F24" s="215"/>
      <c r="G24" s="646"/>
      <c r="H24" s="215"/>
      <c r="I24" s="72" t="s">
        <v>601</v>
      </c>
      <c r="J24" s="688">
        <f t="shared" si="1"/>
        <v>14</v>
      </c>
      <c r="K24" s="648"/>
    </row>
    <row r="25" spans="1:11" ht="15.75" x14ac:dyDescent="0.5">
      <c r="A25" s="688">
        <f t="shared" si="0"/>
        <v>15</v>
      </c>
      <c r="B25" s="210" t="s">
        <v>179</v>
      </c>
      <c r="E25" s="649">
        <f>SUM(E22:E24)</f>
        <v>72316.37249583735</v>
      </c>
      <c r="F25" s="28" t="s">
        <v>16</v>
      </c>
      <c r="G25" s="640"/>
      <c r="H25" s="72"/>
      <c r="I25" s="72" t="s">
        <v>602</v>
      </c>
      <c r="J25" s="688">
        <f t="shared" si="1"/>
        <v>15</v>
      </c>
    </row>
    <row r="26" spans="1:11" x14ac:dyDescent="0.45">
      <c r="A26" s="688">
        <f t="shared" si="0"/>
        <v>16</v>
      </c>
      <c r="F26" s="688"/>
      <c r="H26" s="688"/>
      <c r="I26" s="72"/>
      <c r="J26" s="688">
        <f t="shared" si="1"/>
        <v>16</v>
      </c>
    </row>
    <row r="27" spans="1:11" x14ac:dyDescent="0.45">
      <c r="A27" s="688">
        <f t="shared" si="0"/>
        <v>17</v>
      </c>
      <c r="B27" s="210" t="s">
        <v>180</v>
      </c>
      <c r="E27" s="650">
        <f>1/8</f>
        <v>0.125</v>
      </c>
      <c r="F27" s="688"/>
      <c r="G27" s="651"/>
      <c r="H27" s="688"/>
      <c r="I27" s="72" t="s">
        <v>181</v>
      </c>
      <c r="J27" s="688">
        <f t="shared" si="1"/>
        <v>17</v>
      </c>
    </row>
    <row r="28" spans="1:11" x14ac:dyDescent="0.45">
      <c r="A28" s="688">
        <f t="shared" si="0"/>
        <v>18</v>
      </c>
      <c r="E28" s="214" t="s">
        <v>11</v>
      </c>
      <c r="F28" s="215"/>
      <c r="G28" s="214"/>
      <c r="H28" s="215"/>
      <c r="I28" s="72"/>
      <c r="J28" s="688">
        <f t="shared" si="1"/>
        <v>18</v>
      </c>
    </row>
    <row r="29" spans="1:11" ht="16.149999999999999" thickBot="1" x14ac:dyDescent="0.55000000000000004">
      <c r="A29" s="688">
        <f t="shared" si="0"/>
        <v>19</v>
      </c>
      <c r="B29" s="210" t="s">
        <v>182</v>
      </c>
      <c r="E29" s="652">
        <f>E25*E27</f>
        <v>9039.5465619796687</v>
      </c>
      <c r="F29" s="28" t="s">
        <v>16</v>
      </c>
      <c r="G29" s="637"/>
      <c r="H29" s="215"/>
      <c r="I29" s="688" t="s">
        <v>603</v>
      </c>
      <c r="J29" s="688">
        <f t="shared" si="1"/>
        <v>19</v>
      </c>
    </row>
    <row r="30" spans="1:11" ht="15.75" thickTop="1" x14ac:dyDescent="0.45">
      <c r="B30" s="653"/>
    </row>
    <row r="31" spans="1:11" ht="15.75" x14ac:dyDescent="0.5">
      <c r="A31" s="679" t="s">
        <v>16</v>
      </c>
      <c r="B31" s="25" t="s">
        <v>288</v>
      </c>
    </row>
    <row r="32" spans="1:11" ht="17.25" x14ac:dyDescent="0.45">
      <c r="A32" s="221">
        <v>1</v>
      </c>
      <c r="B32" s="210" t="s">
        <v>183</v>
      </c>
    </row>
    <row r="33" spans="1:2" ht="17.25" x14ac:dyDescent="0.45">
      <c r="A33" s="221"/>
    </row>
    <row r="34" spans="1:2" x14ac:dyDescent="0.45">
      <c r="A34" s="687"/>
      <c r="B34" s="212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Roman,Bold"REVISED</oddHeader>
    <oddFooter>&amp;CPage 8&amp;R&amp;F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58"/>
  <sheetViews>
    <sheetView zoomScale="80" zoomScaleNormal="80" workbookViewId="0"/>
  </sheetViews>
  <sheetFormatPr defaultColWidth="8.86328125" defaultRowHeight="15.4" x14ac:dyDescent="0.45"/>
  <cols>
    <col min="1" max="1" width="5.1328125" style="45" customWidth="1"/>
    <col min="2" max="2" width="55.3984375" style="46" customWidth="1"/>
    <col min="3" max="5" width="15.59765625" style="46" customWidth="1"/>
    <col min="6" max="6" width="1.59765625" style="46" customWidth="1"/>
    <col min="7" max="7" width="16.86328125" style="46" customWidth="1"/>
    <col min="8" max="8" width="1.59765625" style="46" customWidth="1"/>
    <col min="9" max="9" width="38.86328125" style="222" customWidth="1"/>
    <col min="10" max="10" width="5.1328125" style="46" customWidth="1"/>
    <col min="11" max="11" width="27" style="46" bestFit="1" customWidth="1"/>
    <col min="12" max="12" width="15" style="46" bestFit="1" customWidth="1"/>
    <col min="13" max="13" width="10.3984375" style="46" bestFit="1" customWidth="1"/>
    <col min="14" max="16384" width="8.86328125" style="46"/>
  </cols>
  <sheetData>
    <row r="1" spans="1:10" x14ac:dyDescent="0.45">
      <c r="A1" s="654"/>
      <c r="G1" s="74"/>
      <c r="H1" s="74"/>
      <c r="I1" s="246"/>
      <c r="J1" s="45"/>
    </row>
    <row r="2" spans="1:10" x14ac:dyDescent="0.45">
      <c r="B2" s="806" t="s">
        <v>440</v>
      </c>
      <c r="C2" s="806"/>
      <c r="D2" s="806"/>
      <c r="E2" s="806"/>
      <c r="F2" s="806"/>
      <c r="G2" s="806"/>
      <c r="H2" s="806"/>
      <c r="I2" s="806"/>
      <c r="J2" s="45"/>
    </row>
    <row r="3" spans="1:10" x14ac:dyDescent="0.45">
      <c r="B3" s="806" t="s">
        <v>184</v>
      </c>
      <c r="C3" s="806"/>
      <c r="D3" s="806"/>
      <c r="E3" s="806"/>
      <c r="F3" s="806"/>
      <c r="G3" s="806"/>
      <c r="H3" s="806"/>
      <c r="I3" s="806"/>
      <c r="J3" s="45"/>
    </row>
    <row r="4" spans="1:10" x14ac:dyDescent="0.45">
      <c r="B4" s="806" t="s">
        <v>185</v>
      </c>
      <c r="C4" s="806"/>
      <c r="D4" s="806"/>
      <c r="E4" s="806"/>
      <c r="F4" s="806"/>
      <c r="G4" s="806"/>
      <c r="H4" s="806"/>
      <c r="I4" s="806"/>
      <c r="J4" s="45"/>
    </row>
    <row r="5" spans="1:10" x14ac:dyDescent="0.45">
      <c r="B5" s="809" t="s">
        <v>537</v>
      </c>
      <c r="C5" s="809"/>
      <c r="D5" s="809"/>
      <c r="E5" s="809"/>
      <c r="F5" s="809"/>
      <c r="G5" s="809"/>
      <c r="H5" s="809"/>
      <c r="I5" s="809"/>
      <c r="J5" s="45"/>
    </row>
    <row r="6" spans="1:10" x14ac:dyDescent="0.45">
      <c r="B6" s="808" t="s">
        <v>1</v>
      </c>
      <c r="C6" s="810"/>
      <c r="D6" s="810"/>
      <c r="E6" s="810"/>
      <c r="F6" s="810"/>
      <c r="G6" s="810"/>
      <c r="H6" s="810"/>
      <c r="I6" s="810"/>
      <c r="J6" s="45"/>
    </row>
    <row r="7" spans="1:10" x14ac:dyDescent="0.45">
      <c r="B7" s="45"/>
      <c r="C7" s="45"/>
      <c r="D7" s="45"/>
      <c r="E7" s="45"/>
      <c r="F7" s="45"/>
      <c r="G7" s="45"/>
      <c r="H7" s="45"/>
      <c r="I7" s="58"/>
      <c r="J7" s="45"/>
    </row>
    <row r="8" spans="1:10" x14ac:dyDescent="0.45">
      <c r="A8" s="45" t="s">
        <v>2</v>
      </c>
      <c r="B8" s="684"/>
      <c r="C8" s="684"/>
      <c r="D8" s="684"/>
      <c r="E8" s="45" t="s">
        <v>27</v>
      </c>
      <c r="F8" s="684"/>
      <c r="G8" s="684"/>
      <c r="H8" s="684"/>
      <c r="I8" s="58"/>
      <c r="J8" s="45" t="s">
        <v>2</v>
      </c>
    </row>
    <row r="9" spans="1:10" x14ac:dyDescent="0.45">
      <c r="A9" s="45" t="s">
        <v>6</v>
      </c>
      <c r="B9" s="45"/>
      <c r="C9" s="45"/>
      <c r="D9" s="45"/>
      <c r="E9" s="567" t="s">
        <v>28</v>
      </c>
      <c r="F9" s="45"/>
      <c r="G9" s="568" t="s">
        <v>4</v>
      </c>
      <c r="H9" s="684"/>
      <c r="I9" s="655" t="s">
        <v>5</v>
      </c>
      <c r="J9" s="45" t="s">
        <v>6</v>
      </c>
    </row>
    <row r="10" spans="1:10" x14ac:dyDescent="0.45">
      <c r="B10" s="45"/>
      <c r="C10" s="45"/>
      <c r="D10" s="45"/>
      <c r="E10" s="45"/>
      <c r="F10" s="45"/>
      <c r="G10" s="45"/>
      <c r="H10" s="45"/>
      <c r="I10" s="58"/>
      <c r="J10" s="45"/>
    </row>
    <row r="11" spans="1:10" x14ac:dyDescent="0.45">
      <c r="A11" s="45">
        <v>1</v>
      </c>
      <c r="B11" s="50" t="s">
        <v>186</v>
      </c>
      <c r="I11" s="58"/>
      <c r="J11" s="45">
        <f>A11</f>
        <v>1</v>
      </c>
    </row>
    <row r="12" spans="1:10" x14ac:dyDescent="0.45">
      <c r="A12" s="45">
        <f>A11+1</f>
        <v>2</v>
      </c>
      <c r="B12" s="46" t="s">
        <v>187</v>
      </c>
      <c r="E12" s="45" t="s">
        <v>188</v>
      </c>
      <c r="G12" s="223">
        <v>5140552</v>
      </c>
      <c r="H12" s="684"/>
      <c r="I12" s="226"/>
      <c r="J12" s="45">
        <f>J11+1</f>
        <v>2</v>
      </c>
    </row>
    <row r="13" spans="1:10" x14ac:dyDescent="0.45">
      <c r="A13" s="45">
        <f t="shared" ref="A13:A65" si="0">A12+1</f>
        <v>3</v>
      </c>
      <c r="B13" s="46" t="s">
        <v>189</v>
      </c>
      <c r="E13" s="45" t="s">
        <v>190</v>
      </c>
      <c r="G13" s="224">
        <v>0</v>
      </c>
      <c r="H13" s="684"/>
      <c r="I13" s="226"/>
      <c r="J13" s="45">
        <f t="shared" ref="J13:J65" si="1">J12+1</f>
        <v>3</v>
      </c>
    </row>
    <row r="14" spans="1:10" x14ac:dyDescent="0.45">
      <c r="A14" s="45">
        <f t="shared" si="0"/>
        <v>4</v>
      </c>
      <c r="B14" s="46" t="s">
        <v>191</v>
      </c>
      <c r="E14" s="45" t="s">
        <v>192</v>
      </c>
      <c r="G14" s="224">
        <v>0</v>
      </c>
      <c r="H14" s="684"/>
      <c r="I14" s="226"/>
      <c r="J14" s="45">
        <f t="shared" si="1"/>
        <v>4</v>
      </c>
    </row>
    <row r="15" spans="1:10" x14ac:dyDescent="0.45">
      <c r="A15" s="45">
        <f t="shared" si="0"/>
        <v>5</v>
      </c>
      <c r="B15" s="46" t="s">
        <v>193</v>
      </c>
      <c r="E15" s="45" t="s">
        <v>194</v>
      </c>
      <c r="G15" s="224">
        <v>0</v>
      </c>
      <c r="H15" s="684"/>
      <c r="I15" s="226"/>
      <c r="J15" s="45">
        <f t="shared" si="1"/>
        <v>5</v>
      </c>
    </row>
    <row r="16" spans="1:10" x14ac:dyDescent="0.45">
      <c r="A16" s="45">
        <f t="shared" si="0"/>
        <v>6</v>
      </c>
      <c r="B16" s="46" t="s">
        <v>195</v>
      </c>
      <c r="E16" s="45" t="s">
        <v>196</v>
      </c>
      <c r="G16" s="224">
        <v>-12166.400009999999</v>
      </c>
      <c r="H16" s="684"/>
      <c r="I16" s="226"/>
      <c r="J16" s="45">
        <f t="shared" si="1"/>
        <v>6</v>
      </c>
    </row>
    <row r="17" spans="1:10" x14ac:dyDescent="0.45">
      <c r="A17" s="45">
        <f t="shared" si="0"/>
        <v>7</v>
      </c>
      <c r="B17" s="46" t="s">
        <v>197</v>
      </c>
      <c r="G17" s="225">
        <f>SUM(G12:G16)</f>
        <v>5128385.59999</v>
      </c>
      <c r="H17" s="219"/>
      <c r="I17" s="58" t="str">
        <f>"Sum Lines "&amp;A12&amp;" thru "&amp;A16</f>
        <v>Sum Lines 2 thru 6</v>
      </c>
      <c r="J17" s="45">
        <f t="shared" si="1"/>
        <v>7</v>
      </c>
    </row>
    <row r="18" spans="1:10" x14ac:dyDescent="0.45">
      <c r="A18" s="45">
        <f t="shared" si="0"/>
        <v>8</v>
      </c>
      <c r="I18" s="58"/>
      <c r="J18" s="45">
        <f t="shared" si="1"/>
        <v>8</v>
      </c>
    </row>
    <row r="19" spans="1:10" x14ac:dyDescent="0.45">
      <c r="A19" s="45">
        <f t="shared" si="0"/>
        <v>9</v>
      </c>
      <c r="B19" s="50" t="s">
        <v>198</v>
      </c>
      <c r="G19" s="44"/>
      <c r="H19" s="44"/>
      <c r="I19" s="58"/>
      <c r="J19" s="45">
        <f t="shared" si="1"/>
        <v>9</v>
      </c>
    </row>
    <row r="20" spans="1:10" x14ac:dyDescent="0.45">
      <c r="A20" s="45">
        <f t="shared" si="0"/>
        <v>10</v>
      </c>
      <c r="B20" s="46" t="s">
        <v>199</v>
      </c>
      <c r="E20" s="45" t="s">
        <v>200</v>
      </c>
      <c r="G20" s="223">
        <v>213846.54399999999</v>
      </c>
      <c r="H20" s="684"/>
      <c r="I20" s="226"/>
      <c r="J20" s="45">
        <f t="shared" si="1"/>
        <v>10</v>
      </c>
    </row>
    <row r="21" spans="1:10" x14ac:dyDescent="0.45">
      <c r="A21" s="45">
        <f t="shared" si="0"/>
        <v>11</v>
      </c>
      <c r="B21" s="46" t="s">
        <v>201</v>
      </c>
      <c r="E21" s="45" t="s">
        <v>202</v>
      </c>
      <c r="G21" s="224">
        <v>3709.4806400000002</v>
      </c>
      <c r="H21" s="684"/>
      <c r="I21" s="226"/>
      <c r="J21" s="45">
        <f t="shared" si="1"/>
        <v>11</v>
      </c>
    </row>
    <row r="22" spans="1:10" x14ac:dyDescent="0.45">
      <c r="A22" s="45">
        <f t="shared" si="0"/>
        <v>12</v>
      </c>
      <c r="B22" s="46" t="s">
        <v>203</v>
      </c>
      <c r="E22" s="45" t="s">
        <v>204</v>
      </c>
      <c r="G22" s="224">
        <v>1831.0913999999998</v>
      </c>
      <c r="H22" s="684"/>
      <c r="I22" s="226"/>
      <c r="J22" s="45">
        <f t="shared" si="1"/>
        <v>12</v>
      </c>
    </row>
    <row r="23" spans="1:10" x14ac:dyDescent="0.45">
      <c r="A23" s="45">
        <f t="shared" si="0"/>
        <v>13</v>
      </c>
      <c r="B23" s="46" t="s">
        <v>205</v>
      </c>
      <c r="E23" s="45" t="s">
        <v>206</v>
      </c>
      <c r="G23" s="224">
        <v>0</v>
      </c>
      <c r="H23" s="684"/>
      <c r="I23" s="226"/>
      <c r="J23" s="45">
        <f t="shared" si="1"/>
        <v>13</v>
      </c>
    </row>
    <row r="24" spans="1:10" x14ac:dyDescent="0.45">
      <c r="A24" s="45">
        <f t="shared" si="0"/>
        <v>14</v>
      </c>
      <c r="B24" s="46" t="s">
        <v>207</v>
      </c>
      <c r="E24" s="45" t="s">
        <v>208</v>
      </c>
      <c r="G24" s="224">
        <v>0</v>
      </c>
      <c r="H24" s="684"/>
      <c r="I24" s="226"/>
      <c r="J24" s="45">
        <f t="shared" si="1"/>
        <v>14</v>
      </c>
    </row>
    <row r="25" spans="1:10" x14ac:dyDescent="0.45">
      <c r="A25" s="45">
        <f t="shared" si="0"/>
        <v>15</v>
      </c>
      <c r="B25" s="46" t="s">
        <v>209</v>
      </c>
      <c r="G25" s="227">
        <f>SUM(G20:G24)</f>
        <v>219387.11603999999</v>
      </c>
      <c r="H25" s="228"/>
      <c r="I25" s="58" t="str">
        <f>"Sum Lines "&amp;A20&amp;" thru "&amp;A24</f>
        <v>Sum Lines 10 thru 14</v>
      </c>
      <c r="J25" s="45">
        <f t="shared" si="1"/>
        <v>15</v>
      </c>
    </row>
    <row r="26" spans="1:10" x14ac:dyDescent="0.45">
      <c r="A26" s="45">
        <f t="shared" si="0"/>
        <v>16</v>
      </c>
      <c r="I26" s="58"/>
      <c r="J26" s="45">
        <f t="shared" si="1"/>
        <v>16</v>
      </c>
    </row>
    <row r="27" spans="1:10" ht="15.75" thickBot="1" x14ac:dyDescent="0.5">
      <c r="A27" s="45">
        <f t="shared" si="0"/>
        <v>17</v>
      </c>
      <c r="B27" s="50" t="s">
        <v>210</v>
      </c>
      <c r="G27" s="229">
        <f>G25/G17</f>
        <v>4.2778982149943599E-2</v>
      </c>
      <c r="H27" s="230"/>
      <c r="I27" s="58" t="str">
        <f>"Line "&amp;A25&amp;" / Line "&amp;A17</f>
        <v>Line 15 / Line 7</v>
      </c>
      <c r="J27" s="45">
        <f t="shared" si="1"/>
        <v>17</v>
      </c>
    </row>
    <row r="28" spans="1:10" ht="15.75" thickTop="1" x14ac:dyDescent="0.45">
      <c r="A28" s="45">
        <f t="shared" si="0"/>
        <v>18</v>
      </c>
      <c r="I28" s="58"/>
      <c r="J28" s="45">
        <f t="shared" si="1"/>
        <v>18</v>
      </c>
    </row>
    <row r="29" spans="1:10" x14ac:dyDescent="0.45">
      <c r="A29" s="45">
        <f t="shared" si="0"/>
        <v>19</v>
      </c>
      <c r="B29" s="50" t="s">
        <v>211</v>
      </c>
      <c r="I29" s="58"/>
      <c r="J29" s="45">
        <f t="shared" si="1"/>
        <v>19</v>
      </c>
    </row>
    <row r="30" spans="1:10" x14ac:dyDescent="0.45">
      <c r="A30" s="45">
        <f t="shared" si="0"/>
        <v>20</v>
      </c>
      <c r="B30" s="46" t="s">
        <v>212</v>
      </c>
      <c r="E30" s="45" t="s">
        <v>213</v>
      </c>
      <c r="G30" s="223">
        <v>0</v>
      </c>
      <c r="H30" s="684"/>
      <c r="I30" s="226"/>
      <c r="J30" s="45">
        <f t="shared" si="1"/>
        <v>20</v>
      </c>
    </row>
    <row r="31" spans="1:10" x14ac:dyDescent="0.45">
      <c r="A31" s="45">
        <f t="shared" si="0"/>
        <v>21</v>
      </c>
      <c r="B31" s="46" t="s">
        <v>214</v>
      </c>
      <c r="E31" s="45" t="s">
        <v>215</v>
      </c>
      <c r="G31" s="656">
        <v>0</v>
      </c>
      <c r="H31" s="684"/>
      <c r="I31" s="226"/>
      <c r="J31" s="45">
        <f t="shared" si="1"/>
        <v>21</v>
      </c>
    </row>
    <row r="32" spans="1:10" ht="15.75" thickBot="1" x14ac:dyDescent="0.5">
      <c r="A32" s="45">
        <f t="shared" si="0"/>
        <v>22</v>
      </c>
      <c r="B32" s="46" t="s">
        <v>216</v>
      </c>
      <c r="G32" s="229">
        <f>IFERROR((G31/G30),0)</f>
        <v>0</v>
      </c>
      <c r="H32" s="230"/>
      <c r="I32" s="58" t="str">
        <f>"Line "&amp;A31&amp;" / Line "&amp;A30</f>
        <v>Line 21 / Line 20</v>
      </c>
      <c r="J32" s="45">
        <f t="shared" si="1"/>
        <v>22</v>
      </c>
    </row>
    <row r="33" spans="1:12" ht="15.75" thickTop="1" x14ac:dyDescent="0.45">
      <c r="A33" s="45">
        <f t="shared" si="0"/>
        <v>23</v>
      </c>
      <c r="I33" s="58"/>
      <c r="J33" s="45">
        <f t="shared" si="1"/>
        <v>23</v>
      </c>
    </row>
    <row r="34" spans="1:12" x14ac:dyDescent="0.45">
      <c r="A34" s="45">
        <f t="shared" si="0"/>
        <v>24</v>
      </c>
      <c r="B34" s="50" t="s">
        <v>217</v>
      </c>
      <c r="I34" s="58"/>
      <c r="J34" s="45">
        <f t="shared" si="1"/>
        <v>24</v>
      </c>
    </row>
    <row r="35" spans="1:12" x14ac:dyDescent="0.45">
      <c r="A35" s="45">
        <f t="shared" si="0"/>
        <v>25</v>
      </c>
      <c r="B35" s="46" t="s">
        <v>218</v>
      </c>
      <c r="E35" s="45" t="s">
        <v>219</v>
      </c>
      <c r="G35" s="223">
        <v>7099080.8731300002</v>
      </c>
      <c r="H35" s="684"/>
      <c r="I35" s="226"/>
      <c r="J35" s="45">
        <f t="shared" si="1"/>
        <v>25</v>
      </c>
      <c r="K35" s="53"/>
      <c r="L35" s="657"/>
    </row>
    <row r="36" spans="1:12" x14ac:dyDescent="0.45">
      <c r="A36" s="45">
        <f t="shared" si="0"/>
        <v>26</v>
      </c>
      <c r="B36" s="46" t="s">
        <v>220</v>
      </c>
      <c r="E36" s="45" t="s">
        <v>213</v>
      </c>
      <c r="G36" s="231">
        <v>0</v>
      </c>
      <c r="H36" s="231"/>
      <c r="I36" s="58" t="str">
        <f>"Negative of Line "&amp;A30&amp;" Above"</f>
        <v>Negative of Line 20 Above</v>
      </c>
      <c r="J36" s="45">
        <f t="shared" si="1"/>
        <v>26</v>
      </c>
    </row>
    <row r="37" spans="1:12" x14ac:dyDescent="0.45">
      <c r="A37" s="45">
        <f t="shared" si="0"/>
        <v>27</v>
      </c>
      <c r="B37" s="46" t="s">
        <v>221</v>
      </c>
      <c r="E37" s="45" t="s">
        <v>222</v>
      </c>
      <c r="G37" s="224">
        <v>0</v>
      </c>
      <c r="H37" s="684"/>
      <c r="I37" s="226"/>
      <c r="J37" s="45">
        <f t="shared" si="1"/>
        <v>27</v>
      </c>
    </row>
    <row r="38" spans="1:12" x14ac:dyDescent="0.45">
      <c r="A38" s="45">
        <f t="shared" si="0"/>
        <v>28</v>
      </c>
      <c r="B38" s="46" t="s">
        <v>223</v>
      </c>
      <c r="E38" s="45" t="s">
        <v>224</v>
      </c>
      <c r="G38" s="224">
        <v>15874.048050000001</v>
      </c>
      <c r="H38" s="684"/>
      <c r="I38" s="226"/>
      <c r="J38" s="45">
        <f t="shared" si="1"/>
        <v>28</v>
      </c>
    </row>
    <row r="39" spans="1:12" ht="15.75" thickBot="1" x14ac:dyDescent="0.5">
      <c r="A39" s="45">
        <f t="shared" si="0"/>
        <v>29</v>
      </c>
      <c r="B39" s="46" t="s">
        <v>225</v>
      </c>
      <c r="G39" s="232">
        <f>SUM(G35:G38)</f>
        <v>7114954.9211800005</v>
      </c>
      <c r="H39" s="233"/>
      <c r="I39" s="58" t="str">
        <f>"Sum Lines "&amp;A35&amp;" thru "&amp;A38</f>
        <v>Sum Lines 25 thru 28</v>
      </c>
      <c r="J39" s="45">
        <f t="shared" si="1"/>
        <v>29</v>
      </c>
    </row>
    <row r="40" spans="1:12" ht="16.149999999999999" thickTop="1" thickBot="1" x14ac:dyDescent="0.5">
      <c r="A40" s="234">
        <f t="shared" si="0"/>
        <v>30</v>
      </c>
      <c r="B40" s="133"/>
      <c r="C40" s="133"/>
      <c r="D40" s="133"/>
      <c r="E40" s="133"/>
      <c r="F40" s="133"/>
      <c r="G40" s="133"/>
      <c r="H40" s="133"/>
      <c r="I40" s="235"/>
      <c r="J40" s="234">
        <f t="shared" si="1"/>
        <v>30</v>
      </c>
    </row>
    <row r="41" spans="1:12" x14ac:dyDescent="0.45">
      <c r="A41" s="45">
        <f>A40+1</f>
        <v>31</v>
      </c>
      <c r="I41" s="58"/>
      <c r="J41" s="45">
        <f>J40+1</f>
        <v>31</v>
      </c>
    </row>
    <row r="42" spans="1:12" ht="18" thickBot="1" x14ac:dyDescent="0.5">
      <c r="A42" s="45">
        <f>A41+1</f>
        <v>32</v>
      </c>
      <c r="B42" s="50" t="s">
        <v>451</v>
      </c>
      <c r="G42" s="236">
        <v>0.106</v>
      </c>
      <c r="H42" s="684"/>
      <c r="I42" s="45" t="s">
        <v>226</v>
      </c>
      <c r="J42" s="45">
        <f>J41+1</f>
        <v>32</v>
      </c>
    </row>
    <row r="43" spans="1:12" ht="15.75" thickTop="1" x14ac:dyDescent="0.45">
      <c r="A43" s="45">
        <f t="shared" si="0"/>
        <v>33</v>
      </c>
      <c r="C43" s="80" t="s">
        <v>10</v>
      </c>
      <c r="D43" s="80" t="s">
        <v>57</v>
      </c>
      <c r="E43" s="80" t="s">
        <v>227</v>
      </c>
      <c r="F43" s="80"/>
      <c r="G43" s="80" t="s">
        <v>228</v>
      </c>
      <c r="H43" s="80"/>
      <c r="I43" s="58"/>
      <c r="J43" s="45">
        <f t="shared" si="1"/>
        <v>33</v>
      </c>
    </row>
    <row r="44" spans="1:12" x14ac:dyDescent="0.45">
      <c r="A44" s="45">
        <f t="shared" si="0"/>
        <v>34</v>
      </c>
      <c r="D44" s="45" t="s">
        <v>229</v>
      </c>
      <c r="E44" s="45" t="s">
        <v>230</v>
      </c>
      <c r="F44" s="45"/>
      <c r="G44" s="45" t="s">
        <v>231</v>
      </c>
      <c r="H44" s="45"/>
      <c r="I44" s="58"/>
      <c r="J44" s="45">
        <f t="shared" si="1"/>
        <v>34</v>
      </c>
    </row>
    <row r="45" spans="1:12" ht="17.25" x14ac:dyDescent="0.45">
      <c r="A45" s="45">
        <f t="shared" si="0"/>
        <v>35</v>
      </c>
      <c r="B45" s="50" t="s">
        <v>232</v>
      </c>
      <c r="C45" s="567" t="s">
        <v>233</v>
      </c>
      <c r="D45" s="567" t="s">
        <v>234</v>
      </c>
      <c r="E45" s="567" t="s">
        <v>235</v>
      </c>
      <c r="F45" s="567"/>
      <c r="G45" s="567" t="s">
        <v>236</v>
      </c>
      <c r="H45" s="45"/>
      <c r="I45" s="58"/>
      <c r="J45" s="45">
        <f t="shared" si="1"/>
        <v>35</v>
      </c>
    </row>
    <row r="46" spans="1:12" x14ac:dyDescent="0.45">
      <c r="A46" s="45">
        <f t="shared" si="0"/>
        <v>36</v>
      </c>
      <c r="I46" s="58"/>
      <c r="J46" s="45">
        <f t="shared" si="1"/>
        <v>36</v>
      </c>
    </row>
    <row r="47" spans="1:12" x14ac:dyDescent="0.45">
      <c r="A47" s="45">
        <f t="shared" si="0"/>
        <v>37</v>
      </c>
      <c r="B47" s="46" t="s">
        <v>237</v>
      </c>
      <c r="C47" s="71">
        <f>G17</f>
        <v>5128385.59999</v>
      </c>
      <c r="D47" s="237">
        <f>C47/C$50</f>
        <v>0.41887143391319476</v>
      </c>
      <c r="E47" s="238">
        <f>G27</f>
        <v>4.2778982149943599E-2</v>
      </c>
      <c r="G47" s="239">
        <f>D47*E47</f>
        <v>1.7918893594493838E-2</v>
      </c>
      <c r="H47" s="239"/>
      <c r="I47" s="58" t="str">
        <f>"Col. c = Line "&amp;A27&amp;" Above"</f>
        <v>Col. c = Line 17 Above</v>
      </c>
      <c r="J47" s="45">
        <f t="shared" si="1"/>
        <v>37</v>
      </c>
    </row>
    <row r="48" spans="1:12" x14ac:dyDescent="0.45">
      <c r="A48" s="45">
        <f t="shared" si="0"/>
        <v>38</v>
      </c>
      <c r="B48" s="46" t="s">
        <v>238</v>
      </c>
      <c r="C48" s="240">
        <f>G30</f>
        <v>0</v>
      </c>
      <c r="D48" s="237">
        <f>C48/C$50</f>
        <v>0</v>
      </c>
      <c r="E48" s="238">
        <f>G32</f>
        <v>0</v>
      </c>
      <c r="G48" s="239">
        <f>D48*E48</f>
        <v>0</v>
      </c>
      <c r="H48" s="239"/>
      <c r="I48" s="58" t="str">
        <f>"Col. c = Line "&amp;A32&amp;" Above"</f>
        <v>Col. c = Line 22 Above</v>
      </c>
      <c r="J48" s="45">
        <f t="shared" si="1"/>
        <v>38</v>
      </c>
    </row>
    <row r="49" spans="1:10" x14ac:dyDescent="0.45">
      <c r="A49" s="45">
        <f t="shared" si="0"/>
        <v>39</v>
      </c>
      <c r="B49" s="46" t="s">
        <v>239</v>
      </c>
      <c r="C49" s="240">
        <f>G39</f>
        <v>7114954.9211800005</v>
      </c>
      <c r="D49" s="658">
        <f>C49/C$50</f>
        <v>0.58112856608680519</v>
      </c>
      <c r="E49" s="241">
        <f>G42</f>
        <v>0.106</v>
      </c>
      <c r="G49" s="659">
        <f>D49*E49</f>
        <v>6.159962800520135E-2</v>
      </c>
      <c r="H49" s="230"/>
      <c r="I49" s="58" t="str">
        <f>"Col. c = Line "&amp;A42&amp;" Above"</f>
        <v>Col. c = Line 32 Above</v>
      </c>
      <c r="J49" s="45">
        <f t="shared" si="1"/>
        <v>39</v>
      </c>
    </row>
    <row r="50" spans="1:10" ht="15.75" thickBot="1" x14ac:dyDescent="0.5">
      <c r="A50" s="45">
        <f t="shared" si="0"/>
        <v>40</v>
      </c>
      <c r="B50" s="46" t="s">
        <v>240</v>
      </c>
      <c r="C50" s="242">
        <f>SUM(C47:C49)</f>
        <v>12243340.521170001</v>
      </c>
      <c r="D50" s="243">
        <f>SUM(D47:D49)</f>
        <v>1</v>
      </c>
      <c r="G50" s="229">
        <f>SUM(G47:G49)</f>
        <v>7.9518521599695191E-2</v>
      </c>
      <c r="H50" s="230"/>
      <c r="I50" s="58" t="str">
        <f>"Sum Lines "&amp;A47&amp;" thru "&amp;A49</f>
        <v>Sum Lines 37 thru 39</v>
      </c>
      <c r="J50" s="45">
        <f t="shared" si="1"/>
        <v>40</v>
      </c>
    </row>
    <row r="51" spans="1:10" ht="15.75" thickTop="1" x14ac:dyDescent="0.45">
      <c r="A51" s="45">
        <f t="shared" si="0"/>
        <v>41</v>
      </c>
      <c r="I51" s="58"/>
      <c r="J51" s="45">
        <f t="shared" si="1"/>
        <v>41</v>
      </c>
    </row>
    <row r="52" spans="1:10" ht="15.75" thickBot="1" x14ac:dyDescent="0.5">
      <c r="A52" s="45">
        <f t="shared" si="0"/>
        <v>42</v>
      </c>
      <c r="B52" s="50" t="s">
        <v>241</v>
      </c>
      <c r="G52" s="229">
        <f>G48+G49</f>
        <v>6.159962800520135E-2</v>
      </c>
      <c r="H52" s="230"/>
      <c r="I52" s="58" t="str">
        <f>"Line "&amp;A48&amp;" + Line "&amp;A49&amp;"; Col. d"</f>
        <v>Line 38 + Line 39; Col. d</v>
      </c>
      <c r="J52" s="45">
        <f t="shared" si="1"/>
        <v>42</v>
      </c>
    </row>
    <row r="53" spans="1:10" ht="16.149999999999999" thickTop="1" thickBot="1" x14ac:dyDescent="0.5">
      <c r="A53" s="234">
        <f t="shared" si="0"/>
        <v>43</v>
      </c>
      <c r="B53" s="247"/>
      <c r="C53" s="133"/>
      <c r="D53" s="133"/>
      <c r="E53" s="133"/>
      <c r="F53" s="133"/>
      <c r="G53" s="660"/>
      <c r="H53" s="660"/>
      <c r="I53" s="235"/>
      <c r="J53" s="234">
        <f t="shared" si="1"/>
        <v>43</v>
      </c>
    </row>
    <row r="54" spans="1:10" x14ac:dyDescent="0.45">
      <c r="A54" s="45">
        <f t="shared" si="0"/>
        <v>44</v>
      </c>
      <c r="B54" s="50"/>
      <c r="G54" s="241"/>
      <c r="H54" s="241"/>
      <c r="I54" s="58"/>
      <c r="J54" s="45">
        <f t="shared" si="1"/>
        <v>44</v>
      </c>
    </row>
    <row r="55" spans="1:10" ht="15.75" thickBot="1" x14ac:dyDescent="0.5">
      <c r="A55" s="45">
        <f t="shared" si="0"/>
        <v>45</v>
      </c>
      <c r="B55" s="50" t="s">
        <v>441</v>
      </c>
      <c r="G55" s="661">
        <v>0</v>
      </c>
      <c r="H55" s="241"/>
      <c r="I55" s="58" t="s">
        <v>19</v>
      </c>
      <c r="J55" s="45">
        <f t="shared" si="1"/>
        <v>45</v>
      </c>
    </row>
    <row r="56" spans="1:10" ht="15.75" thickTop="1" x14ac:dyDescent="0.45">
      <c r="A56" s="45">
        <f t="shared" si="0"/>
        <v>46</v>
      </c>
      <c r="C56" s="80" t="s">
        <v>10</v>
      </c>
      <c r="D56" s="80" t="s">
        <v>57</v>
      </c>
      <c r="E56" s="80" t="s">
        <v>227</v>
      </c>
      <c r="F56" s="80"/>
      <c r="G56" s="80" t="s">
        <v>228</v>
      </c>
      <c r="H56" s="241"/>
      <c r="I56" s="58"/>
      <c r="J56" s="45">
        <f t="shared" si="1"/>
        <v>46</v>
      </c>
    </row>
    <row r="57" spans="1:10" x14ac:dyDescent="0.45">
      <c r="A57" s="45">
        <f t="shared" si="0"/>
        <v>47</v>
      </c>
      <c r="D57" s="45" t="s">
        <v>229</v>
      </c>
      <c r="E57" s="45" t="s">
        <v>230</v>
      </c>
      <c r="F57" s="45"/>
      <c r="G57" s="45" t="s">
        <v>231</v>
      </c>
      <c r="H57" s="241"/>
      <c r="I57" s="58"/>
      <c r="J57" s="45">
        <f t="shared" si="1"/>
        <v>47</v>
      </c>
    </row>
    <row r="58" spans="1:10" ht="17.25" x14ac:dyDescent="0.45">
      <c r="A58" s="45">
        <f t="shared" si="0"/>
        <v>48</v>
      </c>
      <c r="B58" s="50" t="s">
        <v>243</v>
      </c>
      <c r="C58" s="567" t="s">
        <v>233</v>
      </c>
      <c r="D58" s="567" t="s">
        <v>234</v>
      </c>
      <c r="E58" s="567" t="s">
        <v>235</v>
      </c>
      <c r="F58" s="567"/>
      <c r="G58" s="567" t="s">
        <v>236</v>
      </c>
      <c r="H58" s="241"/>
      <c r="I58" s="58"/>
      <c r="J58" s="45">
        <f t="shared" si="1"/>
        <v>48</v>
      </c>
    </row>
    <row r="59" spans="1:10" x14ac:dyDescent="0.45">
      <c r="A59" s="45">
        <f t="shared" si="0"/>
        <v>49</v>
      </c>
      <c r="G59" s="241"/>
      <c r="H59" s="241"/>
      <c r="I59" s="58"/>
      <c r="J59" s="45">
        <f t="shared" si="1"/>
        <v>49</v>
      </c>
    </row>
    <row r="60" spans="1:10" x14ac:dyDescent="0.45">
      <c r="A60" s="45">
        <f t="shared" si="0"/>
        <v>50</v>
      </c>
      <c r="B60" s="46" t="s">
        <v>237</v>
      </c>
      <c r="C60" s="662">
        <v>0</v>
      </c>
      <c r="D60" s="663">
        <v>0</v>
      </c>
      <c r="E60" s="244">
        <v>0</v>
      </c>
      <c r="G60" s="239">
        <f>D60*E60</f>
        <v>0</v>
      </c>
      <c r="H60" s="241"/>
      <c r="I60" s="58" t="s">
        <v>19</v>
      </c>
      <c r="J60" s="45">
        <f t="shared" si="1"/>
        <v>50</v>
      </c>
    </row>
    <row r="61" spans="1:10" x14ac:dyDescent="0.45">
      <c r="A61" s="45">
        <f t="shared" si="0"/>
        <v>51</v>
      </c>
      <c r="B61" s="46" t="s">
        <v>238</v>
      </c>
      <c r="C61" s="664">
        <v>0</v>
      </c>
      <c r="D61" s="663">
        <v>0</v>
      </c>
      <c r="E61" s="244">
        <v>0</v>
      </c>
      <c r="G61" s="239">
        <f>D61*E61</f>
        <v>0</v>
      </c>
      <c r="H61" s="241"/>
      <c r="I61" s="58" t="s">
        <v>19</v>
      </c>
      <c r="J61" s="45">
        <f t="shared" si="1"/>
        <v>51</v>
      </c>
    </row>
    <row r="62" spans="1:10" x14ac:dyDescent="0.45">
      <c r="A62" s="45">
        <f t="shared" si="0"/>
        <v>52</v>
      </c>
      <c r="B62" s="46" t="s">
        <v>239</v>
      </c>
      <c r="C62" s="664">
        <v>0</v>
      </c>
      <c r="D62" s="665">
        <v>0</v>
      </c>
      <c r="E62" s="666">
        <v>0</v>
      </c>
      <c r="G62" s="659">
        <f>D62*E62</f>
        <v>0</v>
      </c>
      <c r="H62" s="241"/>
      <c r="I62" s="58" t="s">
        <v>19</v>
      </c>
      <c r="J62" s="45">
        <f t="shared" si="1"/>
        <v>52</v>
      </c>
    </row>
    <row r="63" spans="1:10" ht="15.75" thickBot="1" x14ac:dyDescent="0.5">
      <c r="A63" s="45">
        <f t="shared" si="0"/>
        <v>53</v>
      </c>
      <c r="B63" s="46" t="s">
        <v>240</v>
      </c>
      <c r="C63" s="242">
        <f>SUM(C60:C62)</f>
        <v>0</v>
      </c>
      <c r="D63" s="229">
        <f>SUM(D60:D62)</f>
        <v>0</v>
      </c>
      <c r="G63" s="229">
        <f>SUM(G60:G62)</f>
        <v>0</v>
      </c>
      <c r="H63" s="241"/>
      <c r="I63" s="58" t="str">
        <f>"Sum Lines "&amp;A60&amp;" thru "&amp;A62</f>
        <v>Sum Lines 50 thru 52</v>
      </c>
      <c r="J63" s="45">
        <f t="shared" si="1"/>
        <v>53</v>
      </c>
    </row>
    <row r="64" spans="1:10" ht="15.75" thickTop="1" x14ac:dyDescent="0.45">
      <c r="A64" s="45">
        <f t="shared" si="0"/>
        <v>54</v>
      </c>
      <c r="H64" s="241"/>
      <c r="I64" s="58"/>
      <c r="J64" s="45">
        <f t="shared" si="1"/>
        <v>54</v>
      </c>
    </row>
    <row r="65" spans="1:10" ht="15.75" thickBot="1" x14ac:dyDescent="0.5">
      <c r="A65" s="45">
        <f t="shared" si="0"/>
        <v>55</v>
      </c>
      <c r="B65" s="50" t="s">
        <v>244</v>
      </c>
      <c r="G65" s="229">
        <f>G61+G62</f>
        <v>0</v>
      </c>
      <c r="H65" s="241"/>
      <c r="I65" s="58" t="str">
        <f>"Line "&amp;A61&amp;" + Line "&amp;A62&amp;"; Col. d"</f>
        <v>Line 51 + Line 52; Col. d</v>
      </c>
      <c r="J65" s="45">
        <f t="shared" si="1"/>
        <v>55</v>
      </c>
    </row>
    <row r="66" spans="1:10" ht="15.75" thickTop="1" x14ac:dyDescent="0.45">
      <c r="B66" s="50"/>
      <c r="G66" s="241"/>
      <c r="H66" s="241"/>
      <c r="I66" s="58"/>
      <c r="J66" s="45"/>
    </row>
    <row r="67" spans="1:10" x14ac:dyDescent="0.45">
      <c r="B67" s="50"/>
      <c r="G67" s="241"/>
      <c r="H67" s="241"/>
      <c r="I67" s="58"/>
      <c r="J67" s="45"/>
    </row>
    <row r="68" spans="1:10" ht="17.25" x14ac:dyDescent="0.45">
      <c r="A68" s="78">
        <v>1</v>
      </c>
      <c r="B68" s="20" t="s">
        <v>242</v>
      </c>
      <c r="G68" s="74"/>
      <c r="H68" s="74"/>
      <c r="J68" s="45" t="s">
        <v>11</v>
      </c>
    </row>
    <row r="69" spans="1:10" ht="17.25" x14ac:dyDescent="0.45">
      <c r="A69" s="248"/>
      <c r="B69" s="517"/>
      <c r="G69" s="74"/>
      <c r="H69" s="74"/>
      <c r="J69" s="45"/>
    </row>
    <row r="70" spans="1:10" ht="17.25" x14ac:dyDescent="0.45">
      <c r="A70" s="78"/>
      <c r="B70" s="20"/>
      <c r="D70" s="45"/>
      <c r="G70" s="74"/>
      <c r="H70" s="74"/>
      <c r="I70" s="703"/>
      <c r="J70" s="45"/>
    </row>
    <row r="71" spans="1:10" x14ac:dyDescent="0.45">
      <c r="B71" s="806" t="s">
        <v>440</v>
      </c>
      <c r="C71" s="806"/>
      <c r="D71" s="806"/>
      <c r="E71" s="806"/>
      <c r="F71" s="806"/>
      <c r="G71" s="806"/>
      <c r="H71" s="806"/>
      <c r="I71" s="806"/>
      <c r="J71" s="45"/>
    </row>
    <row r="72" spans="1:10" x14ac:dyDescent="0.45">
      <c r="B72" s="806" t="s">
        <v>184</v>
      </c>
      <c r="C72" s="806"/>
      <c r="D72" s="806"/>
      <c r="E72" s="806"/>
      <c r="F72" s="806"/>
      <c r="G72" s="806"/>
      <c r="H72" s="806"/>
      <c r="I72" s="806"/>
      <c r="J72" s="45"/>
    </row>
    <row r="73" spans="1:10" x14ac:dyDescent="0.45">
      <c r="B73" s="806" t="s">
        <v>185</v>
      </c>
      <c r="C73" s="806"/>
      <c r="D73" s="806"/>
      <c r="E73" s="806"/>
      <c r="F73" s="806"/>
      <c r="G73" s="806"/>
      <c r="H73" s="806"/>
      <c r="I73" s="806"/>
      <c r="J73" s="45"/>
    </row>
    <row r="74" spans="1:10" x14ac:dyDescent="0.45">
      <c r="B74" s="809" t="str">
        <f>B5</f>
        <v>Base Period &amp; True-Up Period 12 - Months Ending December 31, 2019</v>
      </c>
      <c r="C74" s="809"/>
      <c r="D74" s="809"/>
      <c r="E74" s="809"/>
      <c r="F74" s="809"/>
      <c r="G74" s="809"/>
      <c r="H74" s="809"/>
      <c r="I74" s="809"/>
      <c r="J74" s="45"/>
    </row>
    <row r="75" spans="1:10" x14ac:dyDescent="0.45">
      <c r="B75" s="808" t="s">
        <v>1</v>
      </c>
      <c r="C75" s="810"/>
      <c r="D75" s="810"/>
      <c r="E75" s="810"/>
      <c r="F75" s="810"/>
      <c r="G75" s="810"/>
      <c r="H75" s="810"/>
      <c r="I75" s="810"/>
      <c r="J75" s="45"/>
    </row>
    <row r="76" spans="1:10" x14ac:dyDescent="0.45">
      <c r="B76" s="45"/>
      <c r="C76" s="45"/>
      <c r="D76" s="45"/>
      <c r="E76" s="45"/>
      <c r="F76" s="45"/>
      <c r="G76" s="45"/>
      <c r="H76" s="45"/>
      <c r="I76" s="58"/>
      <c r="J76" s="45"/>
    </row>
    <row r="77" spans="1:10" x14ac:dyDescent="0.45">
      <c r="A77" s="45" t="s">
        <v>2</v>
      </c>
      <c r="B77" s="684"/>
      <c r="C77" s="684"/>
      <c r="D77" s="684"/>
      <c r="E77" s="684"/>
      <c r="F77" s="684"/>
      <c r="G77" s="684"/>
      <c r="H77" s="684"/>
      <c r="I77" s="58"/>
      <c r="J77" s="45" t="s">
        <v>2</v>
      </c>
    </row>
    <row r="78" spans="1:10" x14ac:dyDescent="0.45">
      <c r="A78" s="45" t="s">
        <v>6</v>
      </c>
      <c r="B78" s="45"/>
      <c r="C78" s="45"/>
      <c r="D78" s="45"/>
      <c r="E78" s="45"/>
      <c r="F78" s="45"/>
      <c r="G78" s="567" t="s">
        <v>4</v>
      </c>
      <c r="H78" s="684"/>
      <c r="I78" s="655" t="s">
        <v>5</v>
      </c>
      <c r="J78" s="45" t="s">
        <v>6</v>
      </c>
    </row>
    <row r="79" spans="1:10" x14ac:dyDescent="0.45">
      <c r="G79" s="45"/>
      <c r="H79" s="45"/>
      <c r="I79" s="58"/>
      <c r="J79" s="45"/>
    </row>
    <row r="80" spans="1:10" ht="17.649999999999999" x14ac:dyDescent="0.45">
      <c r="A80" s="45">
        <v>1</v>
      </c>
      <c r="B80" s="50" t="s">
        <v>442</v>
      </c>
      <c r="E80" s="684"/>
      <c r="F80" s="684"/>
      <c r="G80" s="249"/>
      <c r="H80" s="249"/>
      <c r="I80" s="58"/>
      <c r="J80" s="45">
        <v>1</v>
      </c>
    </row>
    <row r="81" spans="1:13" x14ac:dyDescent="0.45">
      <c r="A81" s="45">
        <f>A80+1</f>
        <v>2</v>
      </c>
      <c r="B81" s="250"/>
      <c r="E81" s="684"/>
      <c r="F81" s="684"/>
      <c r="G81" s="249"/>
      <c r="H81" s="249"/>
      <c r="I81" s="58"/>
      <c r="J81" s="45">
        <f>J80+1</f>
        <v>2</v>
      </c>
    </row>
    <row r="82" spans="1:13" x14ac:dyDescent="0.45">
      <c r="A82" s="45">
        <f>A81+1</f>
        <v>3</v>
      </c>
      <c r="B82" s="50" t="s">
        <v>443</v>
      </c>
      <c r="E82" s="684"/>
      <c r="F82" s="684"/>
      <c r="G82" s="249"/>
      <c r="H82" s="249"/>
      <c r="I82" s="58"/>
      <c r="J82" s="45">
        <f>J81+1</f>
        <v>3</v>
      </c>
    </row>
    <row r="83" spans="1:13" x14ac:dyDescent="0.45">
      <c r="A83" s="45">
        <f>A82+1</f>
        <v>4</v>
      </c>
      <c r="B83" s="684"/>
      <c r="C83" s="684"/>
      <c r="D83" s="684"/>
      <c r="E83" s="684"/>
      <c r="F83" s="684"/>
      <c r="G83" s="249"/>
      <c r="H83" s="249"/>
      <c r="I83" s="58"/>
      <c r="J83" s="45">
        <f>J82+1</f>
        <v>4</v>
      </c>
    </row>
    <row r="84" spans="1:13" x14ac:dyDescent="0.45">
      <c r="A84" s="45">
        <f t="shared" ref="A84:A110" si="2">A83+1</f>
        <v>5</v>
      </c>
      <c r="B84" s="52" t="s">
        <v>245</v>
      </c>
      <c r="C84" s="684"/>
      <c r="D84" s="684"/>
      <c r="E84" s="684"/>
      <c r="F84" s="684"/>
      <c r="G84" s="249"/>
      <c r="H84" s="249"/>
      <c r="I84" s="251"/>
      <c r="J84" s="45">
        <f t="shared" ref="J84:J110" si="3">J83+1</f>
        <v>5</v>
      </c>
    </row>
    <row r="85" spans="1:13" x14ac:dyDescent="0.45">
      <c r="A85" s="45">
        <f t="shared" si="2"/>
        <v>6</v>
      </c>
      <c r="B85" s="46" t="s">
        <v>246</v>
      </c>
      <c r="D85" s="684"/>
      <c r="E85" s="684"/>
      <c r="F85" s="684"/>
      <c r="G85" s="252">
        <f>G52</f>
        <v>6.159962800520135E-2</v>
      </c>
      <c r="H85" s="684"/>
      <c r="I85" s="58" t="str">
        <f>"AV1; Line "&amp;A52</f>
        <v>AV1; Line 42</v>
      </c>
      <c r="J85" s="45">
        <f t="shared" si="3"/>
        <v>6</v>
      </c>
      <c r="L85" s="45"/>
    </row>
    <row r="86" spans="1:13" x14ac:dyDescent="0.45">
      <c r="A86" s="45">
        <f t="shared" si="2"/>
        <v>7</v>
      </c>
      <c r="B86" s="46" t="s">
        <v>247</v>
      </c>
      <c r="D86" s="684"/>
      <c r="E86" s="684"/>
      <c r="F86" s="684"/>
      <c r="G86" s="253">
        <v>264.76299999999998</v>
      </c>
      <c r="H86" s="684"/>
      <c r="I86" s="58" t="s">
        <v>604</v>
      </c>
      <c r="J86" s="45">
        <f t="shared" si="3"/>
        <v>7</v>
      </c>
      <c r="L86" s="45"/>
    </row>
    <row r="87" spans="1:13" ht="17.25" x14ac:dyDescent="0.45">
      <c r="A87" s="45">
        <f t="shared" si="2"/>
        <v>8</v>
      </c>
      <c r="B87" s="46" t="s">
        <v>444</v>
      </c>
      <c r="D87" s="684"/>
      <c r="E87" s="684"/>
      <c r="F87" s="684"/>
      <c r="G87" s="254">
        <v>7491.7360400000025</v>
      </c>
      <c r="H87" s="684"/>
      <c r="I87" s="246" t="s">
        <v>605</v>
      </c>
      <c r="J87" s="45">
        <f t="shared" si="3"/>
        <v>8</v>
      </c>
      <c r="L87" s="684"/>
    </row>
    <row r="88" spans="1:13" ht="15.75" x14ac:dyDescent="0.5">
      <c r="A88" s="45">
        <f t="shared" si="2"/>
        <v>9</v>
      </c>
      <c r="B88" s="46" t="s">
        <v>249</v>
      </c>
      <c r="D88" s="684"/>
      <c r="E88" s="255"/>
      <c r="F88" s="684"/>
      <c r="G88" s="256">
        <f>'Pg10 Revised AV-4'!C36</f>
        <v>4272164.416601371</v>
      </c>
      <c r="H88" s="28" t="s">
        <v>16</v>
      </c>
      <c r="I88" s="246" t="s">
        <v>606</v>
      </c>
      <c r="J88" s="45">
        <f t="shared" si="3"/>
        <v>9</v>
      </c>
    </row>
    <row r="89" spans="1:13" x14ac:dyDescent="0.45">
      <c r="A89" s="45">
        <f t="shared" si="2"/>
        <v>10</v>
      </c>
      <c r="B89" s="46" t="s">
        <v>250</v>
      </c>
      <c r="D89" s="257"/>
      <c r="E89" s="684"/>
      <c r="F89" s="684"/>
      <c r="G89" s="667">
        <v>0.21</v>
      </c>
      <c r="H89" s="684"/>
      <c r="I89" s="58" t="s">
        <v>251</v>
      </c>
      <c r="J89" s="45">
        <f t="shared" si="3"/>
        <v>10</v>
      </c>
      <c r="M89" s="258"/>
    </row>
    <row r="90" spans="1:13" x14ac:dyDescent="0.45">
      <c r="A90" s="45">
        <f t="shared" si="2"/>
        <v>11</v>
      </c>
      <c r="G90" s="45"/>
      <c r="H90" s="45"/>
      <c r="J90" s="45">
        <f t="shared" si="3"/>
        <v>11</v>
      </c>
    </row>
    <row r="91" spans="1:13" x14ac:dyDescent="0.45">
      <c r="A91" s="45">
        <f t="shared" si="2"/>
        <v>12</v>
      </c>
      <c r="B91" s="46" t="s">
        <v>252</v>
      </c>
      <c r="D91" s="684"/>
      <c r="E91" s="684"/>
      <c r="F91" s="684"/>
      <c r="G91" s="259">
        <f>(((G85)+(G87/G88))*G89-(G86/G88))/(1-G89)</f>
        <v>1.6762287692013475E-2</v>
      </c>
      <c r="H91" s="259"/>
      <c r="I91" s="58" t="s">
        <v>253</v>
      </c>
      <c r="J91" s="45">
        <f t="shared" si="3"/>
        <v>12</v>
      </c>
      <c r="M91" s="260"/>
    </row>
    <row r="92" spans="1:13" x14ac:dyDescent="0.45">
      <c r="A92" s="45">
        <f t="shared" si="2"/>
        <v>13</v>
      </c>
      <c r="B92" s="261" t="s">
        <v>254</v>
      </c>
      <c r="G92" s="45"/>
      <c r="H92" s="45"/>
      <c r="J92" s="45">
        <f t="shared" si="3"/>
        <v>13</v>
      </c>
    </row>
    <row r="93" spans="1:13" x14ac:dyDescent="0.45">
      <c r="A93" s="45">
        <f t="shared" si="2"/>
        <v>14</v>
      </c>
      <c r="G93" s="45"/>
      <c r="H93" s="45"/>
      <c r="J93" s="45">
        <f t="shared" si="3"/>
        <v>14</v>
      </c>
    </row>
    <row r="94" spans="1:13" x14ac:dyDescent="0.45">
      <c r="A94" s="45">
        <f t="shared" si="2"/>
        <v>15</v>
      </c>
      <c r="B94" s="50" t="s">
        <v>255</v>
      </c>
      <c r="C94" s="684"/>
      <c r="D94" s="684"/>
      <c r="E94" s="684"/>
      <c r="F94" s="684"/>
      <c r="G94" s="262"/>
      <c r="H94" s="262"/>
      <c r="I94" s="263"/>
      <c r="J94" s="45">
        <f t="shared" si="3"/>
        <v>15</v>
      </c>
      <c r="L94" s="264"/>
    </row>
    <row r="95" spans="1:13" x14ac:dyDescent="0.45">
      <c r="A95" s="45">
        <f t="shared" si="2"/>
        <v>16</v>
      </c>
      <c r="B95" s="64"/>
      <c r="C95" s="684"/>
      <c r="D95" s="684"/>
      <c r="E95" s="684"/>
      <c r="F95" s="684"/>
      <c r="G95" s="262"/>
      <c r="H95" s="262"/>
      <c r="I95" s="265"/>
      <c r="J95" s="45">
        <f t="shared" si="3"/>
        <v>16</v>
      </c>
      <c r="L95" s="684"/>
    </row>
    <row r="96" spans="1:13" x14ac:dyDescent="0.45">
      <c r="A96" s="45">
        <f t="shared" si="2"/>
        <v>17</v>
      </c>
      <c r="B96" s="52" t="s">
        <v>245</v>
      </c>
      <c r="C96" s="684"/>
      <c r="D96" s="684"/>
      <c r="E96" s="684"/>
      <c r="F96" s="684"/>
      <c r="G96" s="262"/>
      <c r="H96" s="262"/>
      <c r="I96" s="265"/>
      <c r="J96" s="45">
        <f t="shared" si="3"/>
        <v>17</v>
      </c>
      <c r="L96" s="684"/>
    </row>
    <row r="97" spans="1:13" x14ac:dyDescent="0.45">
      <c r="A97" s="45">
        <f t="shared" si="2"/>
        <v>18</v>
      </c>
      <c r="B97" s="46" t="s">
        <v>246</v>
      </c>
      <c r="D97" s="684"/>
      <c r="E97" s="684"/>
      <c r="F97" s="684"/>
      <c r="G97" s="237">
        <f>G85</f>
        <v>6.159962800520135E-2</v>
      </c>
      <c r="H97" s="237"/>
      <c r="I97" s="58" t="str">
        <f>"Line "&amp;A85&amp;" Above"</f>
        <v>Line 6 Above</v>
      </c>
      <c r="J97" s="45">
        <f t="shared" si="3"/>
        <v>18</v>
      </c>
      <c r="L97" s="45"/>
    </row>
    <row r="98" spans="1:13" x14ac:dyDescent="0.45">
      <c r="A98" s="45">
        <f t="shared" si="2"/>
        <v>19</v>
      </c>
      <c r="B98" s="46" t="s">
        <v>256</v>
      </c>
      <c r="D98" s="684"/>
      <c r="E98" s="684"/>
      <c r="F98" s="684"/>
      <c r="G98" s="266">
        <f>G87</f>
        <v>7491.7360400000025</v>
      </c>
      <c r="H98" s="266"/>
      <c r="I98" s="58" t="str">
        <f>"Line "&amp;A87&amp;" Above"</f>
        <v>Line 8 Above</v>
      </c>
      <c r="J98" s="45">
        <f t="shared" si="3"/>
        <v>19</v>
      </c>
      <c r="L98" s="45"/>
    </row>
    <row r="99" spans="1:13" ht="15.75" x14ac:dyDescent="0.5">
      <c r="A99" s="45">
        <f t="shared" si="2"/>
        <v>20</v>
      </c>
      <c r="B99" s="46" t="s">
        <v>257</v>
      </c>
      <c r="D99" s="684"/>
      <c r="E99" s="684"/>
      <c r="F99" s="684"/>
      <c r="G99" s="267">
        <f>G88</f>
        <v>4272164.416601371</v>
      </c>
      <c r="H99" s="28" t="s">
        <v>16</v>
      </c>
      <c r="I99" s="58" t="str">
        <f>"Line "&amp;A88&amp;" Above"</f>
        <v>Line 9 Above</v>
      </c>
      <c r="J99" s="45">
        <f t="shared" si="3"/>
        <v>20</v>
      </c>
      <c r="L99" s="45"/>
    </row>
    <row r="100" spans="1:13" x14ac:dyDescent="0.45">
      <c r="A100" s="45">
        <f t="shared" si="2"/>
        <v>21</v>
      </c>
      <c r="B100" s="46" t="s">
        <v>258</v>
      </c>
      <c r="D100" s="684"/>
      <c r="E100" s="684"/>
      <c r="F100" s="684"/>
      <c r="G100" s="268">
        <f>G91</f>
        <v>1.6762287692013475E-2</v>
      </c>
      <c r="H100" s="268"/>
      <c r="I100" s="58" t="str">
        <f>"Line "&amp;A91&amp;" Above"</f>
        <v>Line 12 Above</v>
      </c>
      <c r="J100" s="45">
        <f t="shared" si="3"/>
        <v>21</v>
      </c>
    </row>
    <row r="101" spans="1:13" x14ac:dyDescent="0.45">
      <c r="A101" s="45">
        <f t="shared" si="2"/>
        <v>22</v>
      </c>
      <c r="B101" s="46" t="s">
        <v>259</v>
      </c>
      <c r="D101" s="684"/>
      <c r="E101" s="684"/>
      <c r="F101" s="684"/>
      <c r="G101" s="668" t="s">
        <v>260</v>
      </c>
      <c r="H101" s="684"/>
      <c r="I101" s="58" t="s">
        <v>261</v>
      </c>
      <c r="J101" s="45">
        <f t="shared" si="3"/>
        <v>22</v>
      </c>
    </row>
    <row r="102" spans="1:13" x14ac:dyDescent="0.45">
      <c r="A102" s="45">
        <f t="shared" si="2"/>
        <v>23</v>
      </c>
      <c r="B102" s="685"/>
      <c r="D102" s="684"/>
      <c r="E102" s="684"/>
      <c r="F102" s="684"/>
      <c r="G102" s="269"/>
      <c r="H102" s="269"/>
      <c r="I102" s="265"/>
      <c r="J102" s="45">
        <f t="shared" si="3"/>
        <v>23</v>
      </c>
    </row>
    <row r="103" spans="1:13" x14ac:dyDescent="0.45">
      <c r="A103" s="45">
        <f t="shared" si="2"/>
        <v>24</v>
      </c>
      <c r="B103" s="46" t="s">
        <v>262</v>
      </c>
      <c r="C103" s="45"/>
      <c r="D103" s="45"/>
      <c r="E103" s="684"/>
      <c r="F103" s="684"/>
      <c r="G103" s="669">
        <f>((G97)+(G98/G99)+G91)*G101/(1-G101)</f>
        <v>7.7689918883676228E-3</v>
      </c>
      <c r="H103" s="270"/>
      <c r="I103" s="58" t="s">
        <v>263</v>
      </c>
      <c r="J103" s="45">
        <f t="shared" si="3"/>
        <v>24</v>
      </c>
    </row>
    <row r="104" spans="1:13" x14ac:dyDescent="0.45">
      <c r="A104" s="45">
        <f t="shared" si="2"/>
        <v>25</v>
      </c>
      <c r="B104" s="261" t="s">
        <v>264</v>
      </c>
      <c r="G104" s="45"/>
      <c r="H104" s="45"/>
      <c r="I104" s="58"/>
      <c r="J104" s="45">
        <f t="shared" si="3"/>
        <v>25</v>
      </c>
      <c r="L104" s="45"/>
    </row>
    <row r="105" spans="1:13" x14ac:dyDescent="0.45">
      <c r="A105" s="45">
        <f t="shared" si="2"/>
        <v>26</v>
      </c>
      <c r="G105" s="45"/>
      <c r="H105" s="45"/>
      <c r="I105" s="58"/>
      <c r="J105" s="45">
        <f t="shared" si="3"/>
        <v>26</v>
      </c>
      <c r="L105" s="45"/>
    </row>
    <row r="106" spans="1:13" x14ac:dyDescent="0.45">
      <c r="A106" s="45">
        <f t="shared" si="2"/>
        <v>27</v>
      </c>
      <c r="B106" s="50" t="s">
        <v>265</v>
      </c>
      <c r="G106" s="259">
        <f>G103+G91</f>
        <v>2.4531279580381097E-2</v>
      </c>
      <c r="H106" s="259"/>
      <c r="I106" s="58" t="str">
        <f>"Line "&amp;A91&amp;" + Line "&amp;A103</f>
        <v>Line 12 + Line 24</v>
      </c>
      <c r="J106" s="45">
        <f t="shared" si="3"/>
        <v>27</v>
      </c>
      <c r="L106" s="45"/>
    </row>
    <row r="107" spans="1:13" x14ac:dyDescent="0.45">
      <c r="A107" s="45">
        <f t="shared" si="2"/>
        <v>28</v>
      </c>
      <c r="G107" s="45"/>
      <c r="H107" s="45"/>
      <c r="I107" s="58"/>
      <c r="J107" s="45">
        <f t="shared" si="3"/>
        <v>28</v>
      </c>
      <c r="L107" s="45"/>
    </row>
    <row r="108" spans="1:13" x14ac:dyDescent="0.45">
      <c r="A108" s="45">
        <f t="shared" si="2"/>
        <v>29</v>
      </c>
      <c r="B108" s="50" t="s">
        <v>266</v>
      </c>
      <c r="G108" s="670">
        <f>G50</f>
        <v>7.9518521599695191E-2</v>
      </c>
      <c r="H108" s="684"/>
      <c r="I108" s="58" t="str">
        <f>"AV1; Line "&amp;A50</f>
        <v>AV1; Line 40</v>
      </c>
      <c r="J108" s="45">
        <f t="shared" si="3"/>
        <v>29</v>
      </c>
      <c r="L108" s="45"/>
    </row>
    <row r="109" spans="1:13" x14ac:dyDescent="0.45">
      <c r="A109" s="45">
        <f t="shared" si="2"/>
        <v>30</v>
      </c>
      <c r="G109" s="237"/>
      <c r="H109" s="237"/>
      <c r="I109" s="58"/>
      <c r="J109" s="45">
        <f t="shared" si="3"/>
        <v>30</v>
      </c>
      <c r="L109" s="45"/>
    </row>
    <row r="110" spans="1:13" ht="18" thickBot="1" x14ac:dyDescent="0.5">
      <c r="A110" s="45">
        <f t="shared" si="2"/>
        <v>31</v>
      </c>
      <c r="B110" s="50" t="s">
        <v>445</v>
      </c>
      <c r="G110" s="271">
        <f>G106+G108</f>
        <v>0.10404980118007628</v>
      </c>
      <c r="H110" s="270"/>
      <c r="I110" s="58" t="str">
        <f>"Line "&amp;A106&amp;" + Line "&amp;A108</f>
        <v>Line 27 + Line 29</v>
      </c>
      <c r="J110" s="45">
        <f t="shared" si="3"/>
        <v>31</v>
      </c>
      <c r="L110" s="272"/>
      <c r="M110" s="260"/>
    </row>
    <row r="111" spans="1:13" ht="15.75" thickTop="1" x14ac:dyDescent="0.45">
      <c r="B111" s="50"/>
      <c r="G111" s="274"/>
      <c r="H111" s="274"/>
      <c r="I111" s="58"/>
      <c r="J111" s="45"/>
      <c r="L111" s="272"/>
      <c r="M111" s="260"/>
    </row>
    <row r="112" spans="1:13" ht="15.75" x14ac:dyDescent="0.5">
      <c r="A112" s="679" t="s">
        <v>16</v>
      </c>
      <c r="B112" s="25" t="s">
        <v>288</v>
      </c>
      <c r="G112" s="274"/>
      <c r="H112" s="274"/>
      <c r="I112" s="58"/>
      <c r="J112" s="45"/>
      <c r="L112" s="272"/>
      <c r="M112" s="260"/>
    </row>
    <row r="113" spans="1:13" ht="17.649999999999999" x14ac:dyDescent="0.45">
      <c r="A113" s="671">
        <v>1</v>
      </c>
      <c r="B113" s="20" t="s">
        <v>446</v>
      </c>
      <c r="G113" s="274"/>
      <c r="H113" s="274"/>
      <c r="I113" s="58"/>
      <c r="J113" s="45"/>
      <c r="L113" s="272"/>
      <c r="M113" s="260"/>
    </row>
    <row r="114" spans="1:13" ht="17.649999999999999" x14ac:dyDescent="0.45">
      <c r="A114" s="671"/>
      <c r="B114" s="20"/>
      <c r="G114" s="274"/>
      <c r="H114" s="274"/>
      <c r="I114" s="58"/>
      <c r="J114" s="45"/>
      <c r="L114" s="272"/>
      <c r="M114" s="260"/>
    </row>
    <row r="115" spans="1:13" x14ac:dyDescent="0.45">
      <c r="A115" s="275"/>
      <c r="B115" s="685"/>
      <c r="C115" s="47"/>
      <c r="D115" s="47"/>
      <c r="E115" s="47"/>
      <c r="F115" s="47"/>
      <c r="G115" s="276"/>
      <c r="H115" s="276"/>
      <c r="I115" s="672"/>
      <c r="J115" s="45"/>
    </row>
    <row r="116" spans="1:13" x14ac:dyDescent="0.45">
      <c r="B116" s="806" t="s">
        <v>24</v>
      </c>
      <c r="C116" s="806"/>
      <c r="D116" s="806"/>
      <c r="E116" s="806"/>
      <c r="F116" s="806"/>
      <c r="G116" s="806"/>
      <c r="H116" s="806"/>
      <c r="I116" s="806"/>
    </row>
    <row r="117" spans="1:13" x14ac:dyDescent="0.45">
      <c r="B117" s="806" t="s">
        <v>184</v>
      </c>
      <c r="C117" s="806"/>
      <c r="D117" s="806"/>
      <c r="E117" s="806"/>
      <c r="F117" s="806"/>
      <c r="G117" s="806"/>
      <c r="H117" s="806"/>
      <c r="I117" s="806"/>
    </row>
    <row r="118" spans="1:13" x14ac:dyDescent="0.45">
      <c r="B118" s="806" t="s">
        <v>185</v>
      </c>
      <c r="C118" s="806"/>
      <c r="D118" s="806"/>
      <c r="E118" s="806"/>
      <c r="F118" s="806"/>
      <c r="G118" s="806"/>
      <c r="H118" s="806"/>
      <c r="I118" s="806"/>
    </row>
    <row r="119" spans="1:13" x14ac:dyDescent="0.45">
      <c r="B119" s="809" t="str">
        <f>B5</f>
        <v>Base Period &amp; True-Up Period 12 - Months Ending December 31, 2019</v>
      </c>
      <c r="C119" s="809"/>
      <c r="D119" s="809"/>
      <c r="E119" s="809"/>
      <c r="F119" s="809"/>
      <c r="G119" s="809"/>
      <c r="H119" s="809"/>
      <c r="I119" s="809"/>
    </row>
    <row r="120" spans="1:13" x14ac:dyDescent="0.45">
      <c r="B120" s="808" t="s">
        <v>1</v>
      </c>
      <c r="C120" s="810"/>
      <c r="D120" s="810"/>
      <c r="E120" s="810"/>
      <c r="F120" s="810"/>
      <c r="G120" s="810"/>
      <c r="H120" s="810"/>
      <c r="I120" s="810"/>
    </row>
    <row r="122" spans="1:13" x14ac:dyDescent="0.45">
      <c r="A122" s="45" t="s">
        <v>2</v>
      </c>
      <c r="B122" s="684"/>
      <c r="C122" s="684"/>
      <c r="D122" s="684"/>
      <c r="E122" s="684"/>
      <c r="F122" s="684"/>
      <c r="G122" s="684"/>
      <c r="H122" s="684"/>
      <c r="I122" s="58"/>
      <c r="J122" s="45" t="s">
        <v>2</v>
      </c>
    </row>
    <row r="123" spans="1:13" x14ac:dyDescent="0.45">
      <c r="A123" s="45" t="s">
        <v>6</v>
      </c>
      <c r="B123" s="45"/>
      <c r="C123" s="45"/>
      <c r="D123" s="45"/>
      <c r="E123" s="45"/>
      <c r="F123" s="45"/>
      <c r="G123" s="567" t="s">
        <v>4</v>
      </c>
      <c r="H123" s="684"/>
      <c r="I123" s="655" t="s">
        <v>5</v>
      </c>
      <c r="J123" s="45" t="s">
        <v>6</v>
      </c>
    </row>
    <row r="125" spans="1:13" ht="17.649999999999999" x14ac:dyDescent="0.45">
      <c r="A125" s="45">
        <v>1</v>
      </c>
      <c r="B125" s="50" t="s">
        <v>447</v>
      </c>
      <c r="J125" s="45">
        <v>1</v>
      </c>
    </row>
    <row r="126" spans="1:13" x14ac:dyDescent="0.45">
      <c r="A126" s="45">
        <f>A125+1</f>
        <v>2</v>
      </c>
      <c r="B126" s="250"/>
      <c r="J126" s="45">
        <f>J125+1</f>
        <v>2</v>
      </c>
    </row>
    <row r="127" spans="1:13" x14ac:dyDescent="0.45">
      <c r="A127" s="45">
        <f>A126+1</f>
        <v>3</v>
      </c>
      <c r="B127" s="50" t="s">
        <v>443</v>
      </c>
      <c r="J127" s="45">
        <f>J126+1</f>
        <v>3</v>
      </c>
    </row>
    <row r="128" spans="1:13" x14ac:dyDescent="0.45">
      <c r="A128" s="45">
        <f>A127+1</f>
        <v>4</v>
      </c>
      <c r="B128" s="684"/>
      <c r="J128" s="45">
        <f>J127+1</f>
        <v>4</v>
      </c>
    </row>
    <row r="129" spans="1:10" x14ac:dyDescent="0.45">
      <c r="A129" s="45">
        <f t="shared" ref="A129:A155" si="4">A128+1</f>
        <v>5</v>
      </c>
      <c r="B129" s="52" t="s">
        <v>245</v>
      </c>
      <c r="J129" s="45">
        <f t="shared" ref="J129:J155" si="5">J128+1</f>
        <v>5</v>
      </c>
    </row>
    <row r="130" spans="1:10" x14ac:dyDescent="0.45">
      <c r="A130" s="45">
        <f t="shared" si="4"/>
        <v>6</v>
      </c>
      <c r="B130" s="46" t="str">
        <f>B85</f>
        <v xml:space="preserve">     A = Sum of Preferred Stock and Return on Equity Component</v>
      </c>
      <c r="G130" s="252">
        <f>G65</f>
        <v>0</v>
      </c>
      <c r="I130" s="58" t="str">
        <f>"AV1; Line "&amp;A65</f>
        <v>AV1; Line 55</v>
      </c>
      <c r="J130" s="45">
        <f t="shared" si="5"/>
        <v>6</v>
      </c>
    </row>
    <row r="131" spans="1:10" x14ac:dyDescent="0.45">
      <c r="A131" s="45">
        <f t="shared" si="4"/>
        <v>7</v>
      </c>
      <c r="B131" s="46" t="str">
        <f>B86</f>
        <v xml:space="preserve">     B = Transmission Total Federal Tax Adjustments</v>
      </c>
      <c r="G131" s="273">
        <v>0</v>
      </c>
      <c r="I131" s="246" t="s">
        <v>19</v>
      </c>
      <c r="J131" s="45">
        <f t="shared" si="5"/>
        <v>7</v>
      </c>
    </row>
    <row r="132" spans="1:10" x14ac:dyDescent="0.45">
      <c r="A132" s="45">
        <f t="shared" si="4"/>
        <v>8</v>
      </c>
      <c r="B132" s="46" t="s">
        <v>248</v>
      </c>
      <c r="G132" s="673">
        <v>0</v>
      </c>
      <c r="I132" s="246" t="s">
        <v>19</v>
      </c>
      <c r="J132" s="45">
        <f t="shared" si="5"/>
        <v>8</v>
      </c>
    </row>
    <row r="133" spans="1:10" x14ac:dyDescent="0.45">
      <c r="A133" s="45">
        <f t="shared" si="4"/>
        <v>9</v>
      </c>
      <c r="B133" s="46" t="s">
        <v>267</v>
      </c>
      <c r="G133" s="673">
        <v>0</v>
      </c>
      <c r="I133" s="246" t="s">
        <v>19</v>
      </c>
      <c r="J133" s="45">
        <f t="shared" si="5"/>
        <v>9</v>
      </c>
    </row>
    <row r="134" spans="1:10" x14ac:dyDescent="0.45">
      <c r="A134" s="45">
        <f t="shared" si="4"/>
        <v>10</v>
      </c>
      <c r="B134" s="46" t="str">
        <f>B89</f>
        <v xml:space="preserve">     FT = Federal Income Tax Rate for Rate Effective Period</v>
      </c>
      <c r="G134" s="674">
        <f>G89</f>
        <v>0.21</v>
      </c>
      <c r="I134" s="58" t="str">
        <f>"AV2; Line "&amp;A89</f>
        <v>AV2; Line 10</v>
      </c>
      <c r="J134" s="45">
        <f t="shared" si="5"/>
        <v>10</v>
      </c>
    </row>
    <row r="135" spans="1:10" x14ac:dyDescent="0.45">
      <c r="A135" s="45">
        <f t="shared" si="4"/>
        <v>11</v>
      </c>
      <c r="G135" s="45"/>
      <c r="J135" s="45">
        <f t="shared" si="5"/>
        <v>11</v>
      </c>
    </row>
    <row r="136" spans="1:10" x14ac:dyDescent="0.45">
      <c r="A136" s="45">
        <f t="shared" si="4"/>
        <v>12</v>
      </c>
      <c r="B136" s="46" t="s">
        <v>268</v>
      </c>
      <c r="G136" s="259">
        <f>IFERROR((((G130)+(G132/G133))*G134-(G131/G133))/(1-G134),0)</f>
        <v>0</v>
      </c>
      <c r="I136" s="58" t="s">
        <v>269</v>
      </c>
      <c r="J136" s="45">
        <f t="shared" si="5"/>
        <v>12</v>
      </c>
    </row>
    <row r="137" spans="1:10" x14ac:dyDescent="0.45">
      <c r="A137" s="45">
        <f t="shared" si="4"/>
        <v>13</v>
      </c>
      <c r="B137" s="261" t="s">
        <v>254</v>
      </c>
      <c r="G137" s="245"/>
      <c r="J137" s="45">
        <f t="shared" si="5"/>
        <v>13</v>
      </c>
    </row>
    <row r="138" spans="1:10" x14ac:dyDescent="0.45">
      <c r="A138" s="45">
        <f t="shared" si="4"/>
        <v>14</v>
      </c>
      <c r="G138" s="45"/>
      <c r="J138" s="45">
        <f t="shared" si="5"/>
        <v>14</v>
      </c>
    </row>
    <row r="139" spans="1:10" x14ac:dyDescent="0.45">
      <c r="A139" s="45">
        <f t="shared" si="4"/>
        <v>15</v>
      </c>
      <c r="B139" s="50" t="s">
        <v>255</v>
      </c>
      <c r="G139" s="262"/>
      <c r="I139" s="263"/>
      <c r="J139" s="45">
        <f t="shared" si="5"/>
        <v>15</v>
      </c>
    </row>
    <row r="140" spans="1:10" x14ac:dyDescent="0.45">
      <c r="A140" s="45">
        <f t="shared" si="4"/>
        <v>16</v>
      </c>
      <c r="B140" s="64"/>
      <c r="G140" s="262"/>
      <c r="I140" s="251"/>
      <c r="J140" s="45">
        <f t="shared" si="5"/>
        <v>16</v>
      </c>
    </row>
    <row r="141" spans="1:10" x14ac:dyDescent="0.45">
      <c r="A141" s="45">
        <f t="shared" si="4"/>
        <v>17</v>
      </c>
      <c r="B141" s="52" t="s">
        <v>245</v>
      </c>
      <c r="G141" s="262"/>
      <c r="I141" s="251"/>
      <c r="J141" s="45">
        <f t="shared" si="5"/>
        <v>17</v>
      </c>
    </row>
    <row r="142" spans="1:10" x14ac:dyDescent="0.45">
      <c r="A142" s="45">
        <f t="shared" si="4"/>
        <v>18</v>
      </c>
      <c r="B142" s="46" t="str">
        <f>B97</f>
        <v xml:space="preserve">     A = Sum of Preferred Stock and Return on Equity Component</v>
      </c>
      <c r="G142" s="237">
        <f>G130</f>
        <v>0</v>
      </c>
      <c r="I142" s="58" t="str">
        <f>"Line "&amp;A130&amp;" Above"</f>
        <v>Line 6 Above</v>
      </c>
      <c r="J142" s="45">
        <f t="shared" si="5"/>
        <v>18</v>
      </c>
    </row>
    <row r="143" spans="1:10" x14ac:dyDescent="0.45">
      <c r="A143" s="45">
        <f t="shared" si="4"/>
        <v>19</v>
      </c>
      <c r="B143" s="46" t="str">
        <f>B98</f>
        <v xml:space="preserve">     B = Equity AFUDC Component of Transmission Depreciation Expense</v>
      </c>
      <c r="G143" s="266">
        <f>G132</f>
        <v>0</v>
      </c>
      <c r="I143" s="58" t="str">
        <f>"Line "&amp;A132&amp;" Above"</f>
        <v>Line 8 Above</v>
      </c>
      <c r="J143" s="45">
        <f t="shared" si="5"/>
        <v>19</v>
      </c>
    </row>
    <row r="144" spans="1:10" x14ac:dyDescent="0.45">
      <c r="A144" s="45">
        <f t="shared" si="4"/>
        <v>20</v>
      </c>
      <c r="B144" s="46" t="s">
        <v>270</v>
      </c>
      <c r="G144" s="266">
        <f>G133</f>
        <v>0</v>
      </c>
      <c r="I144" s="58" t="str">
        <f>"Line "&amp;A133&amp;" Above"</f>
        <v>Line 9 Above</v>
      </c>
      <c r="J144" s="45">
        <f t="shared" si="5"/>
        <v>20</v>
      </c>
    </row>
    <row r="145" spans="1:10" x14ac:dyDescent="0.45">
      <c r="A145" s="45">
        <f t="shared" si="4"/>
        <v>21</v>
      </c>
      <c r="B145" s="46" t="str">
        <f>B100</f>
        <v xml:space="preserve">     FT = Federal Income Tax Expense</v>
      </c>
      <c r="G145" s="268">
        <f>G136</f>
        <v>0</v>
      </c>
      <c r="I145" s="58" t="str">
        <f>"Line "&amp;A136&amp;" Above"</f>
        <v>Line 12 Above</v>
      </c>
      <c r="J145" s="45">
        <f t="shared" si="5"/>
        <v>21</v>
      </c>
    </row>
    <row r="146" spans="1:10" x14ac:dyDescent="0.45">
      <c r="A146" s="45">
        <f t="shared" si="4"/>
        <v>22</v>
      </c>
      <c r="B146" s="46" t="str">
        <f>B101</f>
        <v xml:space="preserve">     ST = State Income Tax Rate for Rate Effective Period</v>
      </c>
      <c r="G146" s="675" t="str">
        <f>G101</f>
        <v>8.84%</v>
      </c>
      <c r="I146" s="58" t="str">
        <f>"AV2; Line "&amp;A101</f>
        <v>AV2; Line 22</v>
      </c>
      <c r="J146" s="45">
        <f t="shared" si="5"/>
        <v>22</v>
      </c>
    </row>
    <row r="147" spans="1:10" x14ac:dyDescent="0.45">
      <c r="A147" s="45">
        <f t="shared" si="4"/>
        <v>23</v>
      </c>
      <c r="B147" s="685"/>
      <c r="G147" s="269"/>
      <c r="I147" s="265"/>
      <c r="J147" s="45">
        <f t="shared" si="5"/>
        <v>23</v>
      </c>
    </row>
    <row r="148" spans="1:10" x14ac:dyDescent="0.45">
      <c r="A148" s="45">
        <f t="shared" si="4"/>
        <v>24</v>
      </c>
      <c r="B148" s="46" t="s">
        <v>262</v>
      </c>
      <c r="G148" s="669">
        <f>IFERROR(((G142)+(G143/G144)+G136)*G146/(1-G146),0)</f>
        <v>0</v>
      </c>
      <c r="I148" s="58" t="s">
        <v>263</v>
      </c>
      <c r="J148" s="45">
        <f t="shared" si="5"/>
        <v>24</v>
      </c>
    </row>
    <row r="149" spans="1:10" x14ac:dyDescent="0.45">
      <c r="A149" s="45">
        <f t="shared" si="4"/>
        <v>25</v>
      </c>
      <c r="B149" s="261" t="s">
        <v>264</v>
      </c>
      <c r="G149" s="45"/>
      <c r="I149" s="58"/>
      <c r="J149" s="45">
        <f t="shared" si="5"/>
        <v>25</v>
      </c>
    </row>
    <row r="150" spans="1:10" x14ac:dyDescent="0.45">
      <c r="A150" s="45">
        <f t="shared" si="4"/>
        <v>26</v>
      </c>
      <c r="G150" s="45"/>
      <c r="I150" s="58"/>
      <c r="J150" s="45">
        <f t="shared" si="5"/>
        <v>26</v>
      </c>
    </row>
    <row r="151" spans="1:10" x14ac:dyDescent="0.45">
      <c r="A151" s="45">
        <f t="shared" si="4"/>
        <v>27</v>
      </c>
      <c r="B151" s="50" t="s">
        <v>265</v>
      </c>
      <c r="G151" s="259">
        <f>G148+G136</f>
        <v>0</v>
      </c>
      <c r="I151" s="58" t="str">
        <f>"Line "&amp;A136&amp;" + Line "&amp;A148</f>
        <v>Line 12 + Line 24</v>
      </c>
      <c r="J151" s="45">
        <f t="shared" si="5"/>
        <v>27</v>
      </c>
    </row>
    <row r="152" spans="1:10" x14ac:dyDescent="0.45">
      <c r="A152" s="45">
        <f t="shared" si="4"/>
        <v>28</v>
      </c>
      <c r="G152" s="45"/>
      <c r="I152" s="58"/>
      <c r="J152" s="45">
        <f t="shared" si="5"/>
        <v>28</v>
      </c>
    </row>
    <row r="153" spans="1:10" x14ac:dyDescent="0.45">
      <c r="A153" s="45">
        <f t="shared" si="4"/>
        <v>29</v>
      </c>
      <c r="B153" s="50" t="s">
        <v>271</v>
      </c>
      <c r="G153" s="676">
        <f>G63</f>
        <v>0</v>
      </c>
      <c r="I153" s="58" t="str">
        <f>"AV1; Line "&amp;A63</f>
        <v>AV1; Line 53</v>
      </c>
      <c r="J153" s="45">
        <f t="shared" si="5"/>
        <v>29</v>
      </c>
    </row>
    <row r="154" spans="1:10" x14ac:dyDescent="0.45">
      <c r="A154" s="45">
        <f t="shared" si="4"/>
        <v>30</v>
      </c>
      <c r="G154" s="45"/>
      <c r="I154" s="58"/>
      <c r="J154" s="45">
        <f t="shared" si="5"/>
        <v>30</v>
      </c>
    </row>
    <row r="155" spans="1:10" ht="18" thickBot="1" x14ac:dyDescent="0.5">
      <c r="A155" s="45">
        <f t="shared" si="4"/>
        <v>31</v>
      </c>
      <c r="B155" s="50" t="s">
        <v>448</v>
      </c>
      <c r="G155" s="277">
        <f>G151+G153</f>
        <v>0</v>
      </c>
      <c r="I155" s="58" t="str">
        <f>"Line "&amp;A151&amp;" + Line "&amp;A153</f>
        <v>Line 27 + Line 29</v>
      </c>
      <c r="J155" s="45">
        <f t="shared" si="5"/>
        <v>31</v>
      </c>
    </row>
    <row r="156" spans="1:10" ht="15.75" thickTop="1" x14ac:dyDescent="0.45"/>
    <row r="158" spans="1:10" ht="17.25" x14ac:dyDescent="0.45">
      <c r="A158" s="78"/>
      <c r="B158" s="20"/>
    </row>
  </sheetData>
  <mergeCells count="15">
    <mergeCell ref="B120:I120"/>
    <mergeCell ref="B117:I117"/>
    <mergeCell ref="B118:I118"/>
    <mergeCell ref="B119:I119"/>
    <mergeCell ref="B71:I71"/>
    <mergeCell ref="B72:I72"/>
    <mergeCell ref="B73:I73"/>
    <mergeCell ref="B74:I74"/>
    <mergeCell ref="B116:I116"/>
    <mergeCell ref="B75:I75"/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2" orientation="portrait" r:id="rId1"/>
  <headerFooter scaleWithDoc="0" alignWithMargins="0">
    <oddHeader>&amp;C&amp;"Times New Roman,Bold"REVISED</oddHeader>
    <oddFooter>&amp;CPage 9.&amp;P&amp;R&amp;F</oddFooter>
  </headerFooter>
  <rowBreaks count="2" manualBreakCount="2">
    <brk id="69" max="16383" man="1"/>
    <brk id="114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52ED-41FC-4DCB-BE64-590F0CFFF747}">
  <dimension ref="A1:H87"/>
  <sheetViews>
    <sheetView zoomScale="80" zoomScaleNormal="80" workbookViewId="0"/>
  </sheetViews>
  <sheetFormatPr defaultColWidth="8.86328125" defaultRowHeight="15.4" x14ac:dyDescent="0.45"/>
  <cols>
    <col min="1" max="1" width="5.1328125" style="758" customWidth="1"/>
    <col min="2" max="2" width="83" style="705" customWidth="1"/>
    <col min="3" max="3" width="16.86328125" style="705" customWidth="1"/>
    <col min="4" max="4" width="1.59765625" style="705" customWidth="1"/>
    <col min="5" max="5" width="38.86328125" style="705" customWidth="1"/>
    <col min="6" max="6" width="5.1328125" style="758" customWidth="1"/>
    <col min="7" max="16384" width="8.86328125" style="705"/>
  </cols>
  <sheetData>
    <row r="1" spans="1:6" x14ac:dyDescent="0.45">
      <c r="A1" s="688"/>
      <c r="B1" s="289"/>
      <c r="C1" s="704"/>
      <c r="D1" s="704"/>
      <c r="E1" s="680"/>
      <c r="F1" s="688"/>
    </row>
    <row r="2" spans="1:6" x14ac:dyDescent="0.45">
      <c r="A2" s="688"/>
      <c r="B2" s="799" t="s">
        <v>24</v>
      </c>
      <c r="C2" s="817"/>
      <c r="D2" s="817"/>
      <c r="E2" s="817"/>
      <c r="F2" s="688"/>
    </row>
    <row r="3" spans="1:6" x14ac:dyDescent="0.45">
      <c r="A3" s="688" t="s">
        <v>11</v>
      </c>
      <c r="B3" s="799" t="s">
        <v>452</v>
      </c>
      <c r="C3" s="817"/>
      <c r="D3" s="817"/>
      <c r="E3" s="817"/>
      <c r="F3" s="688" t="s">
        <v>11</v>
      </c>
    </row>
    <row r="4" spans="1:6" x14ac:dyDescent="0.45">
      <c r="A4" s="688"/>
      <c r="B4" s="818" t="s">
        <v>537</v>
      </c>
      <c r="C4" s="819"/>
      <c r="D4" s="819"/>
      <c r="E4" s="819"/>
      <c r="F4" s="688"/>
    </row>
    <row r="5" spans="1:6" x14ac:dyDescent="0.45">
      <c r="A5" s="688"/>
      <c r="B5" s="820" t="s">
        <v>1</v>
      </c>
      <c r="C5" s="817"/>
      <c r="D5" s="817"/>
      <c r="E5" s="817"/>
      <c r="F5" s="688"/>
    </row>
    <row r="6" spans="1:6" x14ac:dyDescent="0.45">
      <c r="A6" s="688"/>
      <c r="B6" s="706"/>
      <c r="C6" s="289"/>
      <c r="D6" s="289"/>
      <c r="E6" s="289"/>
      <c r="F6" s="688"/>
    </row>
    <row r="7" spans="1:6" x14ac:dyDescent="0.45">
      <c r="A7" s="688" t="s">
        <v>2</v>
      </c>
      <c r="B7" s="289"/>
      <c r="C7" s="707"/>
      <c r="D7" s="707"/>
      <c r="E7" s="682"/>
      <c r="F7" s="688" t="s">
        <v>2</v>
      </c>
    </row>
    <row r="8" spans="1:6" x14ac:dyDescent="0.45">
      <c r="A8" s="688" t="s">
        <v>6</v>
      </c>
      <c r="B8" s="289" t="s">
        <v>11</v>
      </c>
      <c r="C8" s="708" t="s">
        <v>4</v>
      </c>
      <c r="D8" s="707"/>
      <c r="E8" s="709" t="s">
        <v>5</v>
      </c>
      <c r="F8" s="688" t="s">
        <v>6</v>
      </c>
    </row>
    <row r="9" spans="1:6" x14ac:dyDescent="0.45">
      <c r="A9" s="688"/>
      <c r="B9" s="572" t="s">
        <v>453</v>
      </c>
      <c r="C9" s="710"/>
      <c r="D9" s="707"/>
      <c r="E9" s="682"/>
      <c r="F9" s="688"/>
    </row>
    <row r="10" spans="1:6" x14ac:dyDescent="0.45">
      <c r="A10" s="688"/>
      <c r="B10" s="711"/>
      <c r="C10" s="710"/>
      <c r="D10" s="707"/>
      <c r="E10" s="682"/>
      <c r="F10" s="688"/>
    </row>
    <row r="11" spans="1:6" x14ac:dyDescent="0.45">
      <c r="A11" s="688">
        <v>1</v>
      </c>
      <c r="B11" s="572" t="s">
        <v>454</v>
      </c>
      <c r="C11" s="710"/>
      <c r="D11" s="710"/>
      <c r="E11" s="682"/>
      <c r="F11" s="688">
        <f>A11</f>
        <v>1</v>
      </c>
    </row>
    <row r="12" spans="1:6" x14ac:dyDescent="0.45">
      <c r="A12" s="688">
        <f>A11+1</f>
        <v>2</v>
      </c>
      <c r="B12" s="311" t="s">
        <v>455</v>
      </c>
      <c r="C12" s="712">
        <f>C77</f>
        <v>4947387.2084215386</v>
      </c>
      <c r="D12" s="713"/>
      <c r="E12" s="339" t="s">
        <v>615</v>
      </c>
      <c r="F12" s="688">
        <f>F11+1</f>
        <v>2</v>
      </c>
    </row>
    <row r="13" spans="1:6" x14ac:dyDescent="0.45">
      <c r="A13" s="688">
        <f t="shared" ref="A13:A48" si="0">A12+1</f>
        <v>3</v>
      </c>
      <c r="B13" s="311" t="s">
        <v>20</v>
      </c>
      <c r="C13" s="714">
        <f>C78</f>
        <v>4191.7006084227396</v>
      </c>
      <c r="D13" s="715"/>
      <c r="E13" s="339" t="s">
        <v>616</v>
      </c>
      <c r="F13" s="688">
        <f t="shared" ref="F13:F48" si="1">F12+1</f>
        <v>3</v>
      </c>
    </row>
    <row r="14" spans="1:6" x14ac:dyDescent="0.45">
      <c r="A14" s="688">
        <f t="shared" si="0"/>
        <v>4</v>
      </c>
      <c r="B14" s="311" t="s">
        <v>21</v>
      </c>
      <c r="C14" s="714">
        <f>C79</f>
        <v>29317.665249830297</v>
      </c>
      <c r="D14" s="715"/>
      <c r="E14" s="339" t="s">
        <v>617</v>
      </c>
      <c r="F14" s="688">
        <f t="shared" si="1"/>
        <v>4</v>
      </c>
    </row>
    <row r="15" spans="1:6" x14ac:dyDescent="0.45">
      <c r="A15" s="688">
        <f t="shared" si="0"/>
        <v>5</v>
      </c>
      <c r="B15" s="311" t="s">
        <v>456</v>
      </c>
      <c r="C15" s="716">
        <f>C80</f>
        <v>55105.899285469299</v>
      </c>
      <c r="D15" s="715"/>
      <c r="E15" s="339" t="s">
        <v>618</v>
      </c>
      <c r="F15" s="688">
        <f t="shared" si="1"/>
        <v>5</v>
      </c>
    </row>
    <row r="16" spans="1:6" x14ac:dyDescent="0.45">
      <c r="A16" s="688">
        <f t="shared" si="0"/>
        <v>6</v>
      </c>
      <c r="B16" s="311" t="s">
        <v>457</v>
      </c>
      <c r="C16" s="717">
        <f>SUM(C12:C15)</f>
        <v>5036002.4735652609</v>
      </c>
      <c r="D16" s="718"/>
      <c r="E16" s="339" t="s">
        <v>609</v>
      </c>
      <c r="F16" s="688">
        <f t="shared" si="1"/>
        <v>6</v>
      </c>
    </row>
    <row r="17" spans="1:6" x14ac:dyDescent="0.45">
      <c r="A17" s="688">
        <f t="shared" si="0"/>
        <v>7</v>
      </c>
      <c r="B17" s="570"/>
      <c r="C17" s="719"/>
      <c r="D17" s="720"/>
      <c r="E17" s="682"/>
      <c r="F17" s="688">
        <f t="shared" si="1"/>
        <v>7</v>
      </c>
    </row>
    <row r="18" spans="1:6" x14ac:dyDescent="0.45">
      <c r="A18" s="688">
        <f t="shared" si="0"/>
        <v>8</v>
      </c>
      <c r="B18" s="572" t="s">
        <v>458</v>
      </c>
      <c r="C18" s="719"/>
      <c r="D18" s="720"/>
      <c r="E18" s="682"/>
      <c r="F18" s="688">
        <f t="shared" si="1"/>
        <v>8</v>
      </c>
    </row>
    <row r="19" spans="1:6" x14ac:dyDescent="0.45">
      <c r="A19" s="688">
        <f t="shared" si="0"/>
        <v>9</v>
      </c>
      <c r="B19" s="311" t="s">
        <v>459</v>
      </c>
      <c r="C19" s="721">
        <v>0</v>
      </c>
      <c r="D19" s="707"/>
      <c r="E19" s="339" t="s">
        <v>619</v>
      </c>
      <c r="F19" s="688">
        <f t="shared" si="1"/>
        <v>9</v>
      </c>
    </row>
    <row r="20" spans="1:6" x14ac:dyDescent="0.45">
      <c r="A20" s="688">
        <f t="shared" si="0"/>
        <v>10</v>
      </c>
      <c r="B20" s="311" t="s">
        <v>460</v>
      </c>
      <c r="C20" s="722">
        <v>0</v>
      </c>
      <c r="D20" s="707"/>
      <c r="E20" s="339" t="s">
        <v>620</v>
      </c>
      <c r="F20" s="688">
        <f t="shared" si="1"/>
        <v>10</v>
      </c>
    </row>
    <row r="21" spans="1:6" x14ac:dyDescent="0.45">
      <c r="A21" s="688">
        <f t="shared" si="0"/>
        <v>11</v>
      </c>
      <c r="B21" s="311" t="s">
        <v>461</v>
      </c>
      <c r="C21" s="723">
        <f>C19+C20</f>
        <v>0</v>
      </c>
      <c r="D21" s="724"/>
      <c r="E21" s="339" t="s">
        <v>621</v>
      </c>
      <c r="F21" s="688">
        <f t="shared" si="1"/>
        <v>11</v>
      </c>
    </row>
    <row r="22" spans="1:6" x14ac:dyDescent="0.45">
      <c r="A22" s="688">
        <f t="shared" si="0"/>
        <v>12</v>
      </c>
      <c r="B22" s="311"/>
      <c r="C22" s="725"/>
      <c r="D22" s="704"/>
      <c r="E22" s="682"/>
      <c r="F22" s="688">
        <f t="shared" si="1"/>
        <v>12</v>
      </c>
    </row>
    <row r="23" spans="1:6" x14ac:dyDescent="0.45">
      <c r="A23" s="688">
        <f t="shared" si="0"/>
        <v>13</v>
      </c>
      <c r="B23" s="572" t="s">
        <v>462</v>
      </c>
      <c r="C23" s="719"/>
      <c r="D23" s="720"/>
      <c r="E23" s="682"/>
      <c r="F23" s="688">
        <f t="shared" si="1"/>
        <v>13</v>
      </c>
    </row>
    <row r="24" spans="1:6" x14ac:dyDescent="0.45">
      <c r="A24" s="688">
        <f t="shared" si="0"/>
        <v>14</v>
      </c>
      <c r="B24" s="570" t="s">
        <v>463</v>
      </c>
      <c r="C24" s="726">
        <v>-848762.15720450506</v>
      </c>
      <c r="D24" s="707"/>
      <c r="E24" s="339" t="s">
        <v>622</v>
      </c>
      <c r="F24" s="688">
        <f t="shared" si="1"/>
        <v>14</v>
      </c>
    </row>
    <row r="25" spans="1:6" x14ac:dyDescent="0.45">
      <c r="A25" s="688">
        <f t="shared" si="0"/>
        <v>15</v>
      </c>
      <c r="B25" s="570" t="s">
        <v>464</v>
      </c>
      <c r="C25" s="727">
        <v>0</v>
      </c>
      <c r="D25" s="707"/>
      <c r="E25" s="339" t="s">
        <v>623</v>
      </c>
      <c r="F25" s="688">
        <f t="shared" si="1"/>
        <v>15</v>
      </c>
    </row>
    <row r="26" spans="1:6" x14ac:dyDescent="0.45">
      <c r="A26" s="688">
        <f t="shared" si="0"/>
        <v>16</v>
      </c>
      <c r="B26" s="311" t="s">
        <v>465</v>
      </c>
      <c r="C26" s="717">
        <f>SUM(C24:C25)</f>
        <v>-848762.15720450506</v>
      </c>
      <c r="D26" s="718"/>
      <c r="E26" s="339" t="s">
        <v>624</v>
      </c>
      <c r="F26" s="688">
        <f t="shared" si="1"/>
        <v>16</v>
      </c>
    </row>
    <row r="27" spans="1:6" x14ac:dyDescent="0.45">
      <c r="A27" s="688">
        <f t="shared" si="0"/>
        <v>17</v>
      </c>
      <c r="B27" s="289"/>
      <c r="C27" s="728"/>
      <c r="D27" s="729"/>
      <c r="E27" s="682"/>
      <c r="F27" s="688">
        <f t="shared" si="1"/>
        <v>17</v>
      </c>
    </row>
    <row r="28" spans="1:6" x14ac:dyDescent="0.45">
      <c r="A28" s="688">
        <f t="shared" si="0"/>
        <v>18</v>
      </c>
      <c r="B28" s="572" t="s">
        <v>466</v>
      </c>
      <c r="C28" s="728"/>
      <c r="D28" s="729"/>
      <c r="E28" s="682"/>
      <c r="F28" s="688">
        <f t="shared" si="1"/>
        <v>18</v>
      </c>
    </row>
    <row r="29" spans="1:6" x14ac:dyDescent="0.45">
      <c r="A29" s="688">
        <f t="shared" si="0"/>
        <v>19</v>
      </c>
      <c r="B29" s="311" t="s">
        <v>467</v>
      </c>
      <c r="C29" s="712">
        <f>'Pg8 Revised Stmt AL'!G15</f>
        <v>50559.74647056016</v>
      </c>
      <c r="D29" s="707"/>
      <c r="E29" s="339" t="s">
        <v>547</v>
      </c>
      <c r="F29" s="688">
        <f t="shared" si="1"/>
        <v>19</v>
      </c>
    </row>
    <row r="30" spans="1:6" x14ac:dyDescent="0.45">
      <c r="A30" s="688">
        <f t="shared" si="0"/>
        <v>20</v>
      </c>
      <c r="B30" s="311" t="s">
        <v>468</v>
      </c>
      <c r="C30" s="714">
        <f>'Pg8 Revised Stmt AL'!G19</f>
        <v>25324.807208075756</v>
      </c>
      <c r="D30" s="707"/>
      <c r="E30" s="339" t="s">
        <v>548</v>
      </c>
      <c r="F30" s="688">
        <f t="shared" si="1"/>
        <v>20</v>
      </c>
    </row>
    <row r="31" spans="1:6" ht="15.75" x14ac:dyDescent="0.5">
      <c r="A31" s="688">
        <f t="shared" si="0"/>
        <v>21</v>
      </c>
      <c r="B31" s="311" t="s">
        <v>469</v>
      </c>
      <c r="C31" s="730">
        <f>'Pg8 Revised Stmt AL'!E29</f>
        <v>9039.5465619796687</v>
      </c>
      <c r="D31" s="28" t="s">
        <v>16</v>
      </c>
      <c r="E31" s="339" t="s">
        <v>549</v>
      </c>
      <c r="F31" s="688">
        <f t="shared" si="1"/>
        <v>21</v>
      </c>
    </row>
    <row r="32" spans="1:6" ht="15.75" x14ac:dyDescent="0.5">
      <c r="A32" s="688">
        <f t="shared" si="0"/>
        <v>22</v>
      </c>
      <c r="B32" s="311" t="s">
        <v>470</v>
      </c>
      <c r="C32" s="731">
        <f>SUM(C29:C31)</f>
        <v>84924.100240615589</v>
      </c>
      <c r="D32" s="28" t="s">
        <v>16</v>
      </c>
      <c r="E32" s="339" t="s">
        <v>625</v>
      </c>
      <c r="F32" s="688">
        <f t="shared" si="1"/>
        <v>22</v>
      </c>
    </row>
    <row r="33" spans="1:6" x14ac:dyDescent="0.45">
      <c r="A33" s="688">
        <f t="shared" si="0"/>
        <v>23</v>
      </c>
      <c r="B33" s="314"/>
      <c r="C33" s="732"/>
      <c r="D33" s="733"/>
      <c r="E33" s="682"/>
      <c r="F33" s="688">
        <f t="shared" si="1"/>
        <v>23</v>
      </c>
    </row>
    <row r="34" spans="1:6" x14ac:dyDescent="0.45">
      <c r="A34" s="688">
        <f t="shared" si="0"/>
        <v>24</v>
      </c>
      <c r="B34" s="311" t="s">
        <v>471</v>
      </c>
      <c r="C34" s="734">
        <v>0</v>
      </c>
      <c r="D34" s="707"/>
      <c r="E34" s="339" t="s">
        <v>626</v>
      </c>
      <c r="F34" s="688">
        <f t="shared" si="1"/>
        <v>24</v>
      </c>
    </row>
    <row r="35" spans="1:6" x14ac:dyDescent="0.45">
      <c r="A35" s="688">
        <f t="shared" si="0"/>
        <v>25</v>
      </c>
      <c r="B35" s="311"/>
      <c r="C35" s="732"/>
      <c r="D35" s="733"/>
      <c r="E35" s="682"/>
      <c r="F35" s="688">
        <f t="shared" si="1"/>
        <v>25</v>
      </c>
    </row>
    <row r="36" spans="1:6" ht="16.149999999999999" thickBot="1" x14ac:dyDescent="0.55000000000000004">
      <c r="A36" s="688">
        <f t="shared" si="0"/>
        <v>26</v>
      </c>
      <c r="B36" s="311" t="s">
        <v>472</v>
      </c>
      <c r="C36" s="735">
        <f>C16+C21+C26+C32+C34</f>
        <v>4272164.416601371</v>
      </c>
      <c r="D36" s="28" t="s">
        <v>16</v>
      </c>
      <c r="E36" s="339" t="s">
        <v>627</v>
      </c>
      <c r="F36" s="688">
        <f t="shared" si="1"/>
        <v>26</v>
      </c>
    </row>
    <row r="37" spans="1:6" ht="15.75" thickTop="1" x14ac:dyDescent="0.45">
      <c r="A37" s="688">
        <f t="shared" si="0"/>
        <v>27</v>
      </c>
      <c r="B37" s="314"/>
      <c r="C37" s="736"/>
      <c r="D37" s="718"/>
      <c r="E37" s="682"/>
      <c r="F37" s="688">
        <f t="shared" si="1"/>
        <v>27</v>
      </c>
    </row>
    <row r="38" spans="1:6" x14ac:dyDescent="0.45">
      <c r="A38" s="688">
        <f t="shared" si="0"/>
        <v>28</v>
      </c>
      <c r="B38" s="572" t="s">
        <v>473</v>
      </c>
      <c r="C38" s="736"/>
      <c r="D38" s="718"/>
      <c r="E38" s="682"/>
      <c r="F38" s="688">
        <f t="shared" si="1"/>
        <v>28</v>
      </c>
    </row>
    <row r="39" spans="1:6" x14ac:dyDescent="0.45">
      <c r="A39" s="688">
        <f t="shared" si="0"/>
        <v>29</v>
      </c>
      <c r="B39" s="311" t="s">
        <v>474</v>
      </c>
      <c r="C39" s="737">
        <v>0</v>
      </c>
      <c r="D39" s="738"/>
      <c r="E39" s="339" t="s">
        <v>19</v>
      </c>
      <c r="F39" s="688">
        <f t="shared" si="1"/>
        <v>29</v>
      </c>
    </row>
    <row r="40" spans="1:6" x14ac:dyDescent="0.45">
      <c r="A40" s="688">
        <f t="shared" si="0"/>
        <v>30</v>
      </c>
      <c r="B40" s="311" t="s">
        <v>475</v>
      </c>
      <c r="C40" s="739">
        <v>0</v>
      </c>
      <c r="D40" s="707"/>
      <c r="E40" s="339" t="s">
        <v>19</v>
      </c>
      <c r="F40" s="688">
        <f t="shared" si="1"/>
        <v>30</v>
      </c>
    </row>
    <row r="41" spans="1:6" x14ac:dyDescent="0.45">
      <c r="A41" s="688">
        <f t="shared" si="0"/>
        <v>31</v>
      </c>
      <c r="B41" s="570" t="s">
        <v>476</v>
      </c>
      <c r="C41" s="731">
        <f>C39+C40</f>
        <v>0</v>
      </c>
      <c r="D41" s="718"/>
      <c r="E41" s="339" t="s">
        <v>628</v>
      </c>
      <c r="F41" s="688">
        <f t="shared" si="1"/>
        <v>31</v>
      </c>
    </row>
    <row r="42" spans="1:6" x14ac:dyDescent="0.45">
      <c r="A42" s="688">
        <f t="shared" si="0"/>
        <v>32</v>
      </c>
      <c r="B42" s="314"/>
      <c r="C42" s="736"/>
      <c r="D42" s="718"/>
      <c r="E42" s="682"/>
      <c r="F42" s="688">
        <f t="shared" si="1"/>
        <v>32</v>
      </c>
    </row>
    <row r="43" spans="1:6" x14ac:dyDescent="0.45">
      <c r="A43" s="688">
        <f t="shared" si="0"/>
        <v>33</v>
      </c>
      <c r="B43" s="572" t="s">
        <v>477</v>
      </c>
      <c r="C43" s="736"/>
      <c r="D43" s="718"/>
      <c r="E43" s="682"/>
      <c r="F43" s="688">
        <f t="shared" si="1"/>
        <v>33</v>
      </c>
    </row>
    <row r="44" spans="1:6" x14ac:dyDescent="0.45">
      <c r="A44" s="688">
        <f t="shared" si="0"/>
        <v>34</v>
      </c>
      <c r="B44" s="311" t="s">
        <v>478</v>
      </c>
      <c r="C44" s="737">
        <v>0</v>
      </c>
      <c r="D44" s="707"/>
      <c r="E44" s="339" t="s">
        <v>19</v>
      </c>
      <c r="F44" s="688">
        <f t="shared" si="1"/>
        <v>34</v>
      </c>
    </row>
    <row r="45" spans="1:6" x14ac:dyDescent="0.45">
      <c r="A45" s="688">
        <f t="shared" si="0"/>
        <v>35</v>
      </c>
      <c r="B45" s="570" t="s">
        <v>479</v>
      </c>
      <c r="C45" s="740">
        <v>0</v>
      </c>
      <c r="D45" s="707"/>
      <c r="E45" s="339" t="s">
        <v>19</v>
      </c>
      <c r="F45" s="688">
        <f t="shared" si="1"/>
        <v>35</v>
      </c>
    </row>
    <row r="46" spans="1:6" x14ac:dyDescent="0.45">
      <c r="A46" s="688">
        <f t="shared" si="0"/>
        <v>36</v>
      </c>
      <c r="B46" s="570" t="s">
        <v>480</v>
      </c>
      <c r="C46" s="731">
        <f>C44+C45</f>
        <v>0</v>
      </c>
      <c r="D46" s="718"/>
      <c r="E46" s="339" t="s">
        <v>629</v>
      </c>
      <c r="F46" s="688">
        <f t="shared" si="1"/>
        <v>36</v>
      </c>
    </row>
    <row r="47" spans="1:6" x14ac:dyDescent="0.45">
      <c r="A47" s="688">
        <f t="shared" si="0"/>
        <v>37</v>
      </c>
      <c r="B47" s="314"/>
      <c r="C47" s="736"/>
      <c r="D47" s="718"/>
      <c r="E47" s="682"/>
      <c r="F47" s="688">
        <f t="shared" si="1"/>
        <v>37</v>
      </c>
    </row>
    <row r="48" spans="1:6" ht="15.75" thickBot="1" x14ac:dyDescent="0.5">
      <c r="A48" s="688">
        <f t="shared" si="0"/>
        <v>38</v>
      </c>
      <c r="B48" s="572" t="s">
        <v>481</v>
      </c>
      <c r="C48" s="741">
        <v>0</v>
      </c>
      <c r="D48" s="707"/>
      <c r="E48" s="339" t="s">
        <v>19</v>
      </c>
      <c r="F48" s="688">
        <f t="shared" si="1"/>
        <v>38</v>
      </c>
    </row>
    <row r="49" spans="1:8" ht="15.75" thickTop="1" x14ac:dyDescent="0.45">
      <c r="A49" s="688"/>
      <c r="B49" s="314"/>
      <c r="C49" s="736"/>
      <c r="D49" s="718"/>
      <c r="E49" s="682"/>
      <c r="F49" s="688"/>
    </row>
    <row r="50" spans="1:8" ht="15.75" x14ac:dyDescent="0.5">
      <c r="A50" s="679" t="s">
        <v>16</v>
      </c>
      <c r="B50" s="25" t="s">
        <v>288</v>
      </c>
      <c r="C50" s="289"/>
      <c r="D50" s="289"/>
      <c r="E50" s="289"/>
      <c r="F50" s="688"/>
    </row>
    <row r="51" spans="1:8" ht="15.75" x14ac:dyDescent="0.5">
      <c r="A51" s="679"/>
      <c r="B51" s="25"/>
      <c r="C51" s="289"/>
      <c r="D51" s="289"/>
      <c r="E51" s="289"/>
      <c r="F51" s="688"/>
    </row>
    <row r="52" spans="1:8" ht="15.75" x14ac:dyDescent="0.5">
      <c r="A52" s="28"/>
      <c r="B52" s="25"/>
      <c r="C52" s="289"/>
      <c r="D52" s="289"/>
      <c r="E52" s="289"/>
      <c r="F52" s="688"/>
    </row>
    <row r="53" spans="1:8" x14ac:dyDescent="0.45">
      <c r="A53" s="688"/>
      <c r="B53" s="799" t="str">
        <f>B2</f>
        <v>SAN DIEGO GAS &amp; ELECTRIC COMPANY</v>
      </c>
      <c r="C53" s="817"/>
      <c r="D53" s="817"/>
      <c r="E53" s="817"/>
      <c r="F53" s="688"/>
    </row>
    <row r="54" spans="1:8" x14ac:dyDescent="0.45">
      <c r="A54" s="688"/>
      <c r="B54" s="799" t="str">
        <f>B3</f>
        <v xml:space="preserve">Derivation of End Use Transmission Rate Base </v>
      </c>
      <c r="C54" s="817"/>
      <c r="D54" s="817"/>
      <c r="E54" s="817"/>
      <c r="F54" s="688"/>
    </row>
    <row r="55" spans="1:8" x14ac:dyDescent="0.45">
      <c r="A55" s="688"/>
      <c r="B55" s="818" t="str">
        <f>B4</f>
        <v>Base Period &amp; True-Up Period 12 - Months Ending December 31, 2019</v>
      </c>
      <c r="C55" s="819"/>
      <c r="D55" s="819"/>
      <c r="E55" s="819"/>
      <c r="F55" s="688"/>
    </row>
    <row r="56" spans="1:8" x14ac:dyDescent="0.45">
      <c r="A56" s="688"/>
      <c r="B56" s="820" t="s">
        <v>1</v>
      </c>
      <c r="C56" s="817"/>
      <c r="D56" s="817"/>
      <c r="E56" s="817"/>
      <c r="F56" s="688"/>
    </row>
    <row r="57" spans="1:8" x14ac:dyDescent="0.45">
      <c r="A57" s="688"/>
      <c r="B57" s="706"/>
      <c r="C57" s="289"/>
      <c r="D57" s="289"/>
      <c r="E57" s="289"/>
      <c r="F57" s="688"/>
    </row>
    <row r="58" spans="1:8" x14ac:dyDescent="0.45">
      <c r="A58" s="688" t="s">
        <v>2</v>
      </c>
      <c r="B58" s="706"/>
      <c r="C58" s="289"/>
      <c r="D58" s="289"/>
      <c r="E58" s="289"/>
      <c r="F58" s="688"/>
    </row>
    <row r="59" spans="1:8" x14ac:dyDescent="0.45">
      <c r="A59" s="688" t="s">
        <v>6</v>
      </c>
      <c r="B59" s="706"/>
      <c r="C59" s="289"/>
      <c r="D59" s="289"/>
      <c r="E59" s="289"/>
      <c r="F59" s="688"/>
    </row>
    <row r="60" spans="1:8" x14ac:dyDescent="0.45">
      <c r="A60" s="688"/>
      <c r="B60" s="572" t="s">
        <v>482</v>
      </c>
      <c r="C60" s="289"/>
      <c r="D60" s="289"/>
      <c r="E60" s="289"/>
      <c r="F60" s="688"/>
    </row>
    <row r="61" spans="1:8" x14ac:dyDescent="0.45">
      <c r="A61" s="688"/>
      <c r="B61" s="711"/>
      <c r="C61" s="707"/>
      <c r="D61" s="707"/>
      <c r="E61" s="682"/>
      <c r="F61" s="688"/>
    </row>
    <row r="62" spans="1:8" x14ac:dyDescent="0.45">
      <c r="A62" s="688">
        <v>1</v>
      </c>
      <c r="B62" s="572" t="s">
        <v>483</v>
      </c>
      <c r="C62" s="707"/>
      <c r="D62" s="707"/>
      <c r="E62" s="682"/>
      <c r="F62" s="688">
        <f t="shared" ref="F62:F86" si="2">A62</f>
        <v>1</v>
      </c>
    </row>
    <row r="63" spans="1:8" x14ac:dyDescent="0.45">
      <c r="A63" s="688">
        <v>2</v>
      </c>
      <c r="B63" s="311" t="s">
        <v>455</v>
      </c>
      <c r="C63" s="742">
        <v>6197907.0110930772</v>
      </c>
      <c r="D63" s="707"/>
      <c r="E63" s="339" t="s">
        <v>607</v>
      </c>
      <c r="F63" s="688">
        <f t="shared" si="2"/>
        <v>2</v>
      </c>
      <c r="G63" s="743"/>
      <c r="H63" s="744"/>
    </row>
    <row r="64" spans="1:8" x14ac:dyDescent="0.45">
      <c r="A64" s="688">
        <v>3</v>
      </c>
      <c r="B64" s="311" t="s">
        <v>484</v>
      </c>
      <c r="C64" s="745">
        <v>18119.008106850244</v>
      </c>
      <c r="D64" s="707"/>
      <c r="E64" s="339" t="s">
        <v>608</v>
      </c>
      <c r="F64" s="688">
        <f t="shared" si="2"/>
        <v>3</v>
      </c>
      <c r="G64" s="743"/>
      <c r="H64" s="744"/>
    </row>
    <row r="65" spans="1:8" x14ac:dyDescent="0.45">
      <c r="A65" s="688">
        <v>4</v>
      </c>
      <c r="B65" s="311" t="s">
        <v>21</v>
      </c>
      <c r="C65" s="745">
        <v>46899.099622544018</v>
      </c>
      <c r="D65" s="707"/>
      <c r="E65" s="339" t="s">
        <v>584</v>
      </c>
      <c r="F65" s="688">
        <f t="shared" si="2"/>
        <v>4</v>
      </c>
      <c r="G65" s="743"/>
      <c r="H65" s="746"/>
    </row>
    <row r="66" spans="1:8" x14ac:dyDescent="0.45">
      <c r="A66" s="688">
        <v>5</v>
      </c>
      <c r="B66" s="311" t="s">
        <v>456</v>
      </c>
      <c r="C66" s="747">
        <v>105080.18864726061</v>
      </c>
      <c r="D66" s="707"/>
      <c r="E66" s="339" t="s">
        <v>585</v>
      </c>
      <c r="F66" s="688">
        <f t="shared" si="2"/>
        <v>5</v>
      </c>
      <c r="G66" s="744"/>
      <c r="H66" s="744"/>
    </row>
    <row r="67" spans="1:8" x14ac:dyDescent="0.45">
      <c r="A67" s="688">
        <v>6</v>
      </c>
      <c r="B67" s="311" t="s">
        <v>485</v>
      </c>
      <c r="C67" s="717">
        <f>SUM(C63:C66)</f>
        <v>6368005.3074697321</v>
      </c>
      <c r="D67" s="718"/>
      <c r="E67" s="339" t="s">
        <v>609</v>
      </c>
      <c r="F67" s="688">
        <f t="shared" si="2"/>
        <v>6</v>
      </c>
      <c r="G67" s="743"/>
      <c r="H67" s="744"/>
    </row>
    <row r="68" spans="1:8" x14ac:dyDescent="0.45">
      <c r="A68" s="688">
        <v>7</v>
      </c>
      <c r="B68" s="570"/>
      <c r="C68" s="748"/>
      <c r="D68" s="707"/>
      <c r="E68" s="682"/>
      <c r="F68" s="688">
        <f t="shared" si="2"/>
        <v>7</v>
      </c>
      <c r="G68" s="744"/>
      <c r="H68" s="744"/>
    </row>
    <row r="69" spans="1:8" x14ac:dyDescent="0.45">
      <c r="A69" s="688">
        <v>8</v>
      </c>
      <c r="B69" s="569" t="s">
        <v>486</v>
      </c>
      <c r="C69" s="748"/>
      <c r="D69" s="707"/>
      <c r="E69" s="682"/>
      <c r="F69" s="688">
        <f t="shared" si="2"/>
        <v>8</v>
      </c>
      <c r="G69" s="744"/>
      <c r="H69" s="744"/>
    </row>
    <row r="70" spans="1:8" x14ac:dyDescent="0.45">
      <c r="A70" s="688">
        <v>9</v>
      </c>
      <c r="B70" s="570" t="s">
        <v>487</v>
      </c>
      <c r="C70" s="742">
        <v>1250519.8026715387</v>
      </c>
      <c r="D70" s="707"/>
      <c r="E70" s="339" t="s">
        <v>610</v>
      </c>
      <c r="F70" s="688">
        <f t="shared" si="2"/>
        <v>9</v>
      </c>
      <c r="G70" s="744"/>
      <c r="H70" s="744"/>
    </row>
    <row r="71" spans="1:8" x14ac:dyDescent="0.45">
      <c r="A71" s="688">
        <v>10</v>
      </c>
      <c r="B71" s="570" t="s">
        <v>488</v>
      </c>
      <c r="C71" s="745">
        <v>13927.307498427504</v>
      </c>
      <c r="D71" s="707"/>
      <c r="E71" s="339" t="s">
        <v>611</v>
      </c>
      <c r="F71" s="688">
        <f t="shared" si="2"/>
        <v>10</v>
      </c>
      <c r="G71" s="744"/>
      <c r="H71" s="744"/>
    </row>
    <row r="72" spans="1:8" x14ac:dyDescent="0.45">
      <c r="A72" s="688">
        <v>11</v>
      </c>
      <c r="B72" s="570" t="s">
        <v>489</v>
      </c>
      <c r="C72" s="745">
        <v>17581.43437271372</v>
      </c>
      <c r="D72" s="707"/>
      <c r="E72" s="339" t="s">
        <v>612</v>
      </c>
      <c r="F72" s="688">
        <f t="shared" si="2"/>
        <v>11</v>
      </c>
      <c r="G72" s="744"/>
      <c r="H72" s="744"/>
    </row>
    <row r="73" spans="1:8" x14ac:dyDescent="0.45">
      <c r="A73" s="688">
        <v>12</v>
      </c>
      <c r="B73" s="570" t="s">
        <v>490</v>
      </c>
      <c r="C73" s="747">
        <v>49974.289361791314</v>
      </c>
      <c r="D73" s="707"/>
      <c r="E73" s="339" t="s">
        <v>613</v>
      </c>
      <c r="F73" s="688">
        <f t="shared" si="2"/>
        <v>12</v>
      </c>
      <c r="G73" s="744"/>
      <c r="H73" s="744"/>
    </row>
    <row r="74" spans="1:8" x14ac:dyDescent="0.45">
      <c r="A74" s="688">
        <v>13</v>
      </c>
      <c r="B74" s="749" t="s">
        <v>491</v>
      </c>
      <c r="C74" s="717">
        <f>SUM(C70:C73)</f>
        <v>1332002.8339044712</v>
      </c>
      <c r="D74" s="718"/>
      <c r="E74" s="339" t="s">
        <v>614</v>
      </c>
      <c r="F74" s="688">
        <f t="shared" si="2"/>
        <v>13</v>
      </c>
      <c r="G74" s="744"/>
      <c r="H74" s="744"/>
    </row>
    <row r="75" spans="1:8" x14ac:dyDescent="0.45">
      <c r="A75" s="688">
        <v>14</v>
      </c>
      <c r="B75" s="749"/>
      <c r="C75" s="728"/>
      <c r="D75" s="729"/>
      <c r="E75" s="682"/>
      <c r="F75" s="688">
        <f t="shared" si="2"/>
        <v>14</v>
      </c>
      <c r="G75" s="744"/>
      <c r="H75" s="744"/>
    </row>
    <row r="76" spans="1:8" x14ac:dyDescent="0.45">
      <c r="A76" s="688">
        <v>15</v>
      </c>
      <c r="B76" s="572" t="s">
        <v>454</v>
      </c>
      <c r="C76" s="728"/>
      <c r="D76" s="729"/>
      <c r="E76" s="682"/>
      <c r="F76" s="688">
        <f t="shared" si="2"/>
        <v>15</v>
      </c>
      <c r="G76" s="744"/>
      <c r="H76" s="744"/>
    </row>
    <row r="77" spans="1:8" x14ac:dyDescent="0.45">
      <c r="A77" s="688">
        <v>16</v>
      </c>
      <c r="B77" s="311" t="s">
        <v>455</v>
      </c>
      <c r="C77" s="750">
        <f>C63-C70</f>
        <v>4947387.2084215386</v>
      </c>
      <c r="D77" s="751"/>
      <c r="E77" s="339" t="str">
        <f>"Line "&amp;A63&amp;" Minus Line "&amp;A70</f>
        <v>Line 2 Minus Line 9</v>
      </c>
      <c r="F77" s="688">
        <f t="shared" si="2"/>
        <v>16</v>
      </c>
      <c r="G77" s="744"/>
      <c r="H77" s="744"/>
    </row>
    <row r="78" spans="1:8" x14ac:dyDescent="0.45">
      <c r="A78" s="688">
        <v>17</v>
      </c>
      <c r="B78" s="311" t="s">
        <v>20</v>
      </c>
      <c r="C78" s="752">
        <f>C64-C71</f>
        <v>4191.7006084227396</v>
      </c>
      <c r="D78" s="753"/>
      <c r="E78" s="339" t="str">
        <f>"Line "&amp;A64&amp;" Minus Line "&amp;A71</f>
        <v>Line 3 Minus Line 10</v>
      </c>
      <c r="F78" s="688">
        <f t="shared" si="2"/>
        <v>17</v>
      </c>
      <c r="G78" s="744"/>
      <c r="H78" s="744"/>
    </row>
    <row r="79" spans="1:8" x14ac:dyDescent="0.45">
      <c r="A79" s="688">
        <v>18</v>
      </c>
      <c r="B79" s="311" t="s">
        <v>21</v>
      </c>
      <c r="C79" s="752">
        <f>C65-C72</f>
        <v>29317.665249830297</v>
      </c>
      <c r="D79" s="753"/>
      <c r="E79" s="339" t="str">
        <f>"Line "&amp;A65&amp;" Minus Line "&amp;A72</f>
        <v>Line 4 Minus Line 11</v>
      </c>
      <c r="F79" s="688">
        <f t="shared" si="2"/>
        <v>18</v>
      </c>
    </row>
    <row r="80" spans="1:8" x14ac:dyDescent="0.45">
      <c r="A80" s="688">
        <v>19</v>
      </c>
      <c r="B80" s="311" t="s">
        <v>456</v>
      </c>
      <c r="C80" s="754">
        <f>C66-C73</f>
        <v>55105.899285469299</v>
      </c>
      <c r="D80" s="755"/>
      <c r="E80" s="339" t="str">
        <f>"Line "&amp;A66&amp;" Minus Line "&amp;A73</f>
        <v>Line 5 Minus Line 12</v>
      </c>
      <c r="F80" s="688">
        <f t="shared" si="2"/>
        <v>19</v>
      </c>
    </row>
    <row r="81" spans="1:6" ht="15.75" thickBot="1" x14ac:dyDescent="0.5">
      <c r="A81" s="688">
        <v>20</v>
      </c>
      <c r="B81" s="570" t="s">
        <v>457</v>
      </c>
      <c r="C81" s="756">
        <f>SUM(C77:C80)</f>
        <v>5036002.4735652609</v>
      </c>
      <c r="D81" s="718"/>
      <c r="E81" s="339" t="str">
        <f>"Sum Lines "&amp;A77&amp;" thru "&amp;A80</f>
        <v>Sum Lines 16 thru 19</v>
      </c>
      <c r="F81" s="688">
        <f t="shared" si="2"/>
        <v>20</v>
      </c>
    </row>
    <row r="82" spans="1:6" ht="15.75" thickTop="1" x14ac:dyDescent="0.45">
      <c r="A82" s="688">
        <v>21</v>
      </c>
      <c r="B82" s="314"/>
      <c r="C82" s="718"/>
      <c r="D82" s="718"/>
      <c r="E82" s="682"/>
      <c r="F82" s="688">
        <f t="shared" si="2"/>
        <v>21</v>
      </c>
    </row>
    <row r="83" spans="1:6" x14ac:dyDescent="0.45">
      <c r="A83" s="688">
        <v>22</v>
      </c>
      <c r="B83" s="572" t="s">
        <v>492</v>
      </c>
      <c r="C83" s="718"/>
      <c r="D83" s="718"/>
      <c r="E83" s="682"/>
      <c r="F83" s="688">
        <f t="shared" si="2"/>
        <v>22</v>
      </c>
    </row>
    <row r="84" spans="1:6" x14ac:dyDescent="0.45">
      <c r="A84" s="688">
        <v>23</v>
      </c>
      <c r="B84" s="311" t="s">
        <v>493</v>
      </c>
      <c r="C84" s="737">
        <v>0</v>
      </c>
      <c r="D84" s="718"/>
      <c r="E84" s="339" t="s">
        <v>19</v>
      </c>
      <c r="F84" s="688">
        <f t="shared" si="2"/>
        <v>23</v>
      </c>
    </row>
    <row r="85" spans="1:6" x14ac:dyDescent="0.45">
      <c r="A85" s="688">
        <v>24</v>
      </c>
      <c r="B85" s="570" t="s">
        <v>494</v>
      </c>
      <c r="C85" s="740">
        <v>0</v>
      </c>
      <c r="D85" s="718"/>
      <c r="E85" s="339" t="s">
        <v>19</v>
      </c>
      <c r="F85" s="688">
        <f t="shared" si="2"/>
        <v>24</v>
      </c>
    </row>
    <row r="86" spans="1:6" ht="15.75" thickBot="1" x14ac:dyDescent="0.5">
      <c r="A86" s="688">
        <v>25</v>
      </c>
      <c r="B86" s="311" t="s">
        <v>495</v>
      </c>
      <c r="C86" s="757">
        <f>C84-C85</f>
        <v>0</v>
      </c>
      <c r="D86" s="718"/>
      <c r="E86" s="339" t="str">
        <f>"Line "&amp;A84&amp;" Minus Line "&amp;A85</f>
        <v>Line 23 Minus Line 24</v>
      </c>
      <c r="F86" s="688">
        <f t="shared" si="2"/>
        <v>25</v>
      </c>
    </row>
    <row r="87" spans="1:6" ht="15.75" thickTop="1" x14ac:dyDescent="0.45">
      <c r="A87" s="688"/>
    </row>
  </sheetData>
  <mergeCells count="8">
    <mergeCell ref="B54:E54"/>
    <mergeCell ref="B55:E55"/>
    <mergeCell ref="B56:E56"/>
    <mergeCell ref="B2:E2"/>
    <mergeCell ref="B3:E3"/>
    <mergeCell ref="B4:E4"/>
    <mergeCell ref="B5:E5"/>
    <mergeCell ref="B53:E53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Roman,Bold"REVISED</oddHeader>
    <oddFooter>&amp;CPg 10.&amp;P&amp;R&amp;F</oddFooter>
  </headerFooter>
  <rowBreaks count="1" manualBreakCount="1">
    <brk id="5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5A807-1DE4-4ADF-941E-CC22067CC8C7}">
  <sheetPr>
    <pageSetUpPr fitToPage="1"/>
  </sheetPr>
  <dimension ref="A1:L60"/>
  <sheetViews>
    <sheetView zoomScale="80" zoomScaleNormal="80" workbookViewId="0"/>
  </sheetViews>
  <sheetFormatPr defaultColWidth="9.1328125" defaultRowHeight="15.4" x14ac:dyDescent="0.45"/>
  <cols>
    <col min="1" max="1" width="5.1328125" style="758" customWidth="1"/>
    <col min="2" max="2" width="12.53125" style="768" customWidth="1"/>
    <col min="3" max="3" width="20" style="768" customWidth="1"/>
    <col min="4" max="8" width="21.53125" style="768" customWidth="1"/>
    <col min="9" max="9" width="5.1328125" style="758" customWidth="1"/>
    <col min="10" max="10" width="13.53125" style="768" customWidth="1"/>
    <col min="11" max="11" width="12.53125" style="768" customWidth="1"/>
    <col min="12" max="16384" width="9.1328125" style="768"/>
  </cols>
  <sheetData>
    <row r="1" spans="1:9" x14ac:dyDescent="0.45">
      <c r="D1" s="769"/>
    </row>
    <row r="2" spans="1:9" x14ac:dyDescent="0.45">
      <c r="B2" s="821" t="s">
        <v>24</v>
      </c>
      <c r="C2" s="821"/>
      <c r="D2" s="821"/>
      <c r="E2" s="821"/>
      <c r="F2" s="821"/>
      <c r="G2" s="821"/>
      <c r="H2" s="821"/>
      <c r="I2" s="770"/>
    </row>
    <row r="3" spans="1:9" x14ac:dyDescent="0.45">
      <c r="B3" s="821" t="s">
        <v>274</v>
      </c>
      <c r="C3" s="821"/>
      <c r="D3" s="821"/>
      <c r="E3" s="821"/>
      <c r="F3" s="821"/>
      <c r="G3" s="821"/>
      <c r="H3" s="821"/>
      <c r="I3" s="770"/>
    </row>
    <row r="4" spans="1:9" x14ac:dyDescent="0.45">
      <c r="B4" s="822" t="s">
        <v>517</v>
      </c>
      <c r="C4" s="822"/>
      <c r="D4" s="822"/>
      <c r="E4" s="822"/>
      <c r="F4" s="822"/>
      <c r="G4" s="822"/>
      <c r="H4" s="822"/>
      <c r="I4" s="770"/>
    </row>
    <row r="5" spans="1:9" x14ac:dyDescent="0.45">
      <c r="B5" s="822" t="s">
        <v>630</v>
      </c>
      <c r="C5" s="822"/>
      <c r="D5" s="822"/>
      <c r="E5" s="822"/>
      <c r="F5" s="822"/>
      <c r="G5" s="822"/>
      <c r="H5" s="822"/>
      <c r="I5" s="770"/>
    </row>
    <row r="6" spans="1:9" x14ac:dyDescent="0.45">
      <c r="B6" s="823" t="s">
        <v>1</v>
      </c>
      <c r="C6" s="823"/>
      <c r="D6" s="823"/>
      <c r="E6" s="823"/>
      <c r="F6" s="823"/>
      <c r="G6" s="823"/>
      <c r="H6" s="823"/>
      <c r="I6" s="770"/>
    </row>
    <row r="7" spans="1:9" x14ac:dyDescent="0.45">
      <c r="A7" s="770"/>
      <c r="B7" s="770"/>
      <c r="C7" s="770"/>
      <c r="D7" s="770"/>
      <c r="E7" s="770"/>
      <c r="F7" s="770"/>
      <c r="G7" s="770"/>
      <c r="H7" s="770"/>
      <c r="I7" s="770"/>
    </row>
    <row r="8" spans="1:9" x14ac:dyDescent="0.45">
      <c r="A8" s="45" t="s">
        <v>2</v>
      </c>
      <c r="B8" s="64"/>
      <c r="I8" s="45" t="s">
        <v>2</v>
      </c>
    </row>
    <row r="9" spans="1:9" x14ac:dyDescent="0.45">
      <c r="A9" s="567" t="s">
        <v>6</v>
      </c>
      <c r="B9" s="64"/>
      <c r="I9" s="567" t="s">
        <v>6</v>
      </c>
    </row>
    <row r="10" spans="1:9" x14ac:dyDescent="0.45">
      <c r="A10" s="45">
        <v>1</v>
      </c>
      <c r="C10" s="536" t="s">
        <v>331</v>
      </c>
      <c r="D10" s="536" t="s">
        <v>332</v>
      </c>
      <c r="E10" s="536" t="s">
        <v>333</v>
      </c>
      <c r="F10" s="536" t="s">
        <v>334</v>
      </c>
      <c r="G10" s="536" t="s">
        <v>335</v>
      </c>
      <c r="H10" s="536" t="s">
        <v>336</v>
      </c>
      <c r="I10" s="45">
        <v>1</v>
      </c>
    </row>
    <row r="11" spans="1:9" x14ac:dyDescent="0.45">
      <c r="A11" s="45">
        <f t="shared" ref="A11:A54" si="0">A10+1</f>
        <v>2</v>
      </c>
      <c r="B11" s="771" t="s">
        <v>342</v>
      </c>
      <c r="C11" s="45"/>
      <c r="D11" s="80" t="s">
        <v>520</v>
      </c>
      <c r="E11" s="45"/>
      <c r="F11" s="45" t="s">
        <v>521</v>
      </c>
      <c r="G11" s="45" t="s">
        <v>522</v>
      </c>
      <c r="H11" s="80" t="s">
        <v>523</v>
      </c>
      <c r="I11" s="45">
        <f t="shared" ref="I11:I54" si="1">I10+1</f>
        <v>2</v>
      </c>
    </row>
    <row r="12" spans="1:9" x14ac:dyDescent="0.45">
      <c r="A12" s="45">
        <f t="shared" si="0"/>
        <v>3</v>
      </c>
      <c r="B12" s="771"/>
      <c r="C12" s="45"/>
      <c r="D12" s="80"/>
      <c r="E12" s="45"/>
      <c r="F12" s="45"/>
      <c r="G12" s="45"/>
      <c r="H12" s="80"/>
      <c r="I12" s="45">
        <f t="shared" si="1"/>
        <v>3</v>
      </c>
    </row>
    <row r="13" spans="1:9" x14ac:dyDescent="0.45">
      <c r="A13" s="45">
        <f t="shared" si="0"/>
        <v>4</v>
      </c>
      <c r="C13" s="536"/>
      <c r="F13" s="763" t="s">
        <v>343</v>
      </c>
      <c r="H13" s="763" t="s">
        <v>343</v>
      </c>
      <c r="I13" s="45">
        <f t="shared" si="1"/>
        <v>4</v>
      </c>
    </row>
    <row r="14" spans="1:9" x14ac:dyDescent="0.45">
      <c r="A14" s="45">
        <f t="shared" si="0"/>
        <v>5</v>
      </c>
      <c r="C14" s="536"/>
      <c r="D14" s="763" t="s">
        <v>344</v>
      </c>
      <c r="E14" s="763"/>
      <c r="F14" s="763" t="s">
        <v>345</v>
      </c>
      <c r="H14" s="763" t="s">
        <v>345</v>
      </c>
      <c r="I14" s="45">
        <f t="shared" si="1"/>
        <v>5</v>
      </c>
    </row>
    <row r="15" spans="1:9" x14ac:dyDescent="0.45">
      <c r="A15" s="45">
        <f t="shared" si="0"/>
        <v>6</v>
      </c>
      <c r="C15" s="763"/>
      <c r="D15" s="763" t="s">
        <v>345</v>
      </c>
      <c r="E15" s="763" t="s">
        <v>344</v>
      </c>
      <c r="F15" s="763" t="s">
        <v>348</v>
      </c>
      <c r="H15" s="763" t="s">
        <v>348</v>
      </c>
      <c r="I15" s="45">
        <f t="shared" si="1"/>
        <v>6</v>
      </c>
    </row>
    <row r="16" spans="1:9" x14ac:dyDescent="0.45">
      <c r="A16" s="45">
        <f t="shared" si="0"/>
        <v>7</v>
      </c>
      <c r="C16" s="763"/>
      <c r="D16" s="763" t="s">
        <v>348</v>
      </c>
      <c r="E16" s="763" t="s">
        <v>351</v>
      </c>
      <c r="F16" s="763" t="s">
        <v>352</v>
      </c>
      <c r="G16" s="763"/>
      <c r="H16" s="763" t="s">
        <v>352</v>
      </c>
      <c r="I16" s="45">
        <f t="shared" si="1"/>
        <v>7</v>
      </c>
    </row>
    <row r="17" spans="1:12" ht="17.25" x14ac:dyDescent="0.45">
      <c r="A17" s="45">
        <f t="shared" si="0"/>
        <v>8</v>
      </c>
      <c r="B17" s="772" t="s">
        <v>353</v>
      </c>
      <c r="C17" s="772" t="s">
        <v>354</v>
      </c>
      <c r="D17" s="584" t="s">
        <v>352</v>
      </c>
      <c r="E17" s="584" t="s">
        <v>524</v>
      </c>
      <c r="F17" s="584" t="s">
        <v>361</v>
      </c>
      <c r="G17" s="773" t="s">
        <v>351</v>
      </c>
      <c r="H17" s="584" t="s">
        <v>362</v>
      </c>
      <c r="I17" s="45">
        <f t="shared" si="1"/>
        <v>8</v>
      </c>
    </row>
    <row r="18" spans="1:12" x14ac:dyDescent="0.45">
      <c r="A18" s="45">
        <f t="shared" si="0"/>
        <v>9</v>
      </c>
      <c r="B18" s="220" t="s">
        <v>363</v>
      </c>
      <c r="C18" s="538">
        <v>2019</v>
      </c>
      <c r="D18" s="796">
        <f>'Pg2 Appendix XII C3 Comparison'!G28/12</f>
        <v>-1.7480387502552048</v>
      </c>
      <c r="E18" s="775">
        <v>4.4000000000000003E-3</v>
      </c>
      <c r="F18" s="776">
        <f>D18</f>
        <v>-1.7480387502552048</v>
      </c>
      <c r="G18" s="777">
        <f>(D18/2)*E18</f>
        <v>-3.8456852505614507E-3</v>
      </c>
      <c r="H18" s="777">
        <f t="shared" ref="H18:H53" si="2">F18+G18</f>
        <v>-1.7518844355057663</v>
      </c>
      <c r="I18" s="45">
        <f t="shared" si="1"/>
        <v>9</v>
      </c>
      <c r="J18" s="778"/>
    </row>
    <row r="19" spans="1:12" x14ac:dyDescent="0.45">
      <c r="A19" s="45">
        <f t="shared" si="0"/>
        <v>10</v>
      </c>
      <c r="B19" s="220" t="s">
        <v>364</v>
      </c>
      <c r="C19" s="538">
        <f>C18</f>
        <v>2019</v>
      </c>
      <c r="D19" s="774">
        <f>D18</f>
        <v>-1.7480387502552048</v>
      </c>
      <c r="E19" s="775">
        <v>4.0000000000000001E-3</v>
      </c>
      <c r="F19" s="779">
        <f>H18+D19</f>
        <v>-3.4999231857609709</v>
      </c>
      <c r="G19" s="780">
        <f t="shared" ref="G19:G53" si="3">(H18+F19)/2*E19</f>
        <v>-1.0503615242533475E-2</v>
      </c>
      <c r="H19" s="780">
        <f t="shared" si="2"/>
        <v>-3.5104268010035042</v>
      </c>
      <c r="I19" s="45">
        <f t="shared" si="1"/>
        <v>10</v>
      </c>
      <c r="J19" s="781"/>
    </row>
    <row r="20" spans="1:12" x14ac:dyDescent="0.45">
      <c r="A20" s="45">
        <f t="shared" si="0"/>
        <v>11</v>
      </c>
      <c r="B20" s="220" t="s">
        <v>365</v>
      </c>
      <c r="C20" s="538">
        <f t="shared" ref="C20:D29" si="4">C19</f>
        <v>2019</v>
      </c>
      <c r="D20" s="774">
        <f t="shared" si="4"/>
        <v>-1.7480387502552048</v>
      </c>
      <c r="E20" s="775">
        <v>4.4000000000000003E-3</v>
      </c>
      <c r="F20" s="779">
        <f>H19+D20</f>
        <v>-5.2584655512587091</v>
      </c>
      <c r="G20" s="780">
        <f>(H19+F20)/2*E20</f>
        <v>-1.9291563174976871E-2</v>
      </c>
      <c r="H20" s="780">
        <f t="shared" si="2"/>
        <v>-5.2777571144336859</v>
      </c>
      <c r="I20" s="45">
        <f t="shared" si="1"/>
        <v>11</v>
      </c>
      <c r="J20" s="781"/>
    </row>
    <row r="21" spans="1:12" x14ac:dyDescent="0.45">
      <c r="A21" s="45">
        <f t="shared" si="0"/>
        <v>12</v>
      </c>
      <c r="B21" s="220" t="s">
        <v>366</v>
      </c>
      <c r="C21" s="538">
        <f t="shared" si="4"/>
        <v>2019</v>
      </c>
      <c r="D21" s="774">
        <f t="shared" si="4"/>
        <v>-1.7480387502552048</v>
      </c>
      <c r="E21" s="775">
        <v>4.4999999999999997E-3</v>
      </c>
      <c r="F21" s="779">
        <f>H20+D21</f>
        <v>-7.0257958646888907</v>
      </c>
      <c r="G21" s="780">
        <f>(H20+F21)/2*E21</f>
        <v>-2.7682994203025797E-2</v>
      </c>
      <c r="H21" s="780">
        <f t="shared" si="2"/>
        <v>-7.0534788588919168</v>
      </c>
      <c r="I21" s="45">
        <f t="shared" si="1"/>
        <v>12</v>
      </c>
      <c r="J21" s="781"/>
      <c r="L21" s="782"/>
    </row>
    <row r="22" spans="1:12" x14ac:dyDescent="0.45">
      <c r="A22" s="45">
        <f t="shared" si="0"/>
        <v>13</v>
      </c>
      <c r="B22" s="220" t="s">
        <v>367</v>
      </c>
      <c r="C22" s="538">
        <f t="shared" si="4"/>
        <v>2019</v>
      </c>
      <c r="D22" s="774">
        <f t="shared" si="4"/>
        <v>-1.7480387502552048</v>
      </c>
      <c r="E22" s="775">
        <v>4.5999999999999999E-3</v>
      </c>
      <c r="F22" s="779">
        <f t="shared" ref="F22:F53" si="5">H21+D22</f>
        <v>-8.8015176091471226</v>
      </c>
      <c r="G22" s="780">
        <f t="shared" si="3"/>
        <v>-3.6466491876489794E-2</v>
      </c>
      <c r="H22" s="780">
        <f t="shared" si="2"/>
        <v>-8.8379841010236131</v>
      </c>
      <c r="I22" s="45">
        <f t="shared" si="1"/>
        <v>13</v>
      </c>
      <c r="J22" s="781"/>
    </row>
    <row r="23" spans="1:12" x14ac:dyDescent="0.45">
      <c r="A23" s="45">
        <f t="shared" si="0"/>
        <v>14</v>
      </c>
      <c r="B23" s="220" t="s">
        <v>368</v>
      </c>
      <c r="C23" s="538">
        <f t="shared" si="4"/>
        <v>2019</v>
      </c>
      <c r="D23" s="774">
        <f t="shared" si="4"/>
        <v>-1.7480387502552048</v>
      </c>
      <c r="E23" s="775">
        <v>4.4999999999999997E-3</v>
      </c>
      <c r="F23" s="779">
        <f t="shared" si="5"/>
        <v>-10.586022851278818</v>
      </c>
      <c r="G23" s="780">
        <f>(H22+F23)/2*E23</f>
        <v>-4.3704015642680463E-2</v>
      </c>
      <c r="H23" s="780">
        <f t="shared" si="2"/>
        <v>-10.629726866921498</v>
      </c>
      <c r="I23" s="45">
        <f t="shared" si="1"/>
        <v>14</v>
      </c>
      <c r="J23" s="781"/>
    </row>
    <row r="24" spans="1:12" x14ac:dyDescent="0.45">
      <c r="A24" s="45">
        <f t="shared" si="0"/>
        <v>15</v>
      </c>
      <c r="B24" s="220" t="s">
        <v>369</v>
      </c>
      <c r="C24" s="538">
        <f t="shared" si="4"/>
        <v>2019</v>
      </c>
      <c r="D24" s="774">
        <f t="shared" si="4"/>
        <v>-1.7480387502552048</v>
      </c>
      <c r="E24" s="775">
        <v>4.7000000000000002E-3</v>
      </c>
      <c r="F24" s="779">
        <f t="shared" si="5"/>
        <v>-12.377765617176703</v>
      </c>
      <c r="G24" s="780">
        <f t="shared" si="3"/>
        <v>-5.4067607337630774E-2</v>
      </c>
      <c r="H24" s="780">
        <f t="shared" si="2"/>
        <v>-12.431833224514333</v>
      </c>
      <c r="I24" s="45">
        <f t="shared" si="1"/>
        <v>15</v>
      </c>
      <c r="J24" s="781"/>
    </row>
    <row r="25" spans="1:12" x14ac:dyDescent="0.45">
      <c r="A25" s="45">
        <f t="shared" si="0"/>
        <v>16</v>
      </c>
      <c r="B25" s="220" t="s">
        <v>370</v>
      </c>
      <c r="C25" s="538">
        <f t="shared" si="4"/>
        <v>2019</v>
      </c>
      <c r="D25" s="774">
        <f t="shared" si="4"/>
        <v>-1.7480387502552048</v>
      </c>
      <c r="E25" s="775">
        <v>4.7000000000000002E-3</v>
      </c>
      <c r="F25" s="779">
        <f t="shared" si="5"/>
        <v>-14.179871974769538</v>
      </c>
      <c r="G25" s="780">
        <f t="shared" si="3"/>
        <v>-6.2537507218317107E-2</v>
      </c>
      <c r="H25" s="780">
        <f t="shared" si="2"/>
        <v>-14.242409481987856</v>
      </c>
      <c r="I25" s="45">
        <f t="shared" si="1"/>
        <v>16</v>
      </c>
      <c r="J25" s="781"/>
    </row>
    <row r="26" spans="1:12" x14ac:dyDescent="0.45">
      <c r="A26" s="45">
        <f t="shared" si="0"/>
        <v>17</v>
      </c>
      <c r="B26" s="220" t="s">
        <v>371</v>
      </c>
      <c r="C26" s="538">
        <f t="shared" si="4"/>
        <v>2019</v>
      </c>
      <c r="D26" s="774">
        <f t="shared" si="4"/>
        <v>-1.7480387502552048</v>
      </c>
      <c r="E26" s="775">
        <v>4.4999999999999997E-3</v>
      </c>
      <c r="F26" s="779">
        <f t="shared" si="5"/>
        <v>-15.990448232243061</v>
      </c>
      <c r="G26" s="780">
        <f t="shared" si="3"/>
        <v>-6.8023929857019563E-2</v>
      </c>
      <c r="H26" s="780">
        <f t="shared" si="2"/>
        <v>-16.058472162100081</v>
      </c>
      <c r="I26" s="45">
        <f t="shared" si="1"/>
        <v>17</v>
      </c>
      <c r="J26" s="781"/>
    </row>
    <row r="27" spans="1:12" x14ac:dyDescent="0.45">
      <c r="A27" s="45">
        <f t="shared" si="0"/>
        <v>18</v>
      </c>
      <c r="B27" s="220" t="s">
        <v>372</v>
      </c>
      <c r="C27" s="538">
        <f t="shared" si="4"/>
        <v>2019</v>
      </c>
      <c r="D27" s="774">
        <f t="shared" si="4"/>
        <v>-1.7480387502552048</v>
      </c>
      <c r="E27" s="775">
        <v>4.5999999999999999E-3</v>
      </c>
      <c r="F27" s="779">
        <f t="shared" si="5"/>
        <v>-17.806510912355286</v>
      </c>
      <c r="G27" s="780">
        <f t="shared" si="3"/>
        <v>-7.7889461071247348E-2</v>
      </c>
      <c r="H27" s="780">
        <f t="shared" si="2"/>
        <v>-17.884400373426534</v>
      </c>
      <c r="I27" s="45">
        <f t="shared" si="1"/>
        <v>18</v>
      </c>
      <c r="J27" s="781"/>
    </row>
    <row r="28" spans="1:12" x14ac:dyDescent="0.45">
      <c r="A28" s="45">
        <f t="shared" si="0"/>
        <v>19</v>
      </c>
      <c r="B28" s="220" t="s">
        <v>373</v>
      </c>
      <c r="C28" s="538">
        <f t="shared" si="4"/>
        <v>2019</v>
      </c>
      <c r="D28" s="774">
        <f t="shared" si="4"/>
        <v>-1.7480387502552048</v>
      </c>
      <c r="E28" s="775">
        <v>4.4999999999999997E-3</v>
      </c>
      <c r="F28" s="779">
        <f t="shared" si="5"/>
        <v>-19.632439123681738</v>
      </c>
      <c r="G28" s="42">
        <f t="shared" si="3"/>
        <v>-8.4412888868493602E-2</v>
      </c>
      <c r="H28" s="42">
        <f t="shared" si="2"/>
        <v>-19.71685201255023</v>
      </c>
      <c r="I28" s="45">
        <f t="shared" si="1"/>
        <v>19</v>
      </c>
      <c r="J28" s="781"/>
    </row>
    <row r="29" spans="1:12" x14ac:dyDescent="0.45">
      <c r="A29" s="45">
        <f t="shared" si="0"/>
        <v>20</v>
      </c>
      <c r="B29" s="551" t="s">
        <v>374</v>
      </c>
      <c r="C29" s="552">
        <f>C28</f>
        <v>2019</v>
      </c>
      <c r="D29" s="783">
        <f t="shared" si="4"/>
        <v>-1.7480387502552048</v>
      </c>
      <c r="E29" s="784">
        <v>4.5999999999999999E-3</v>
      </c>
      <c r="F29" s="785">
        <f t="shared" si="5"/>
        <v>-21.464890762805435</v>
      </c>
      <c r="G29" s="554">
        <f t="shared" si="3"/>
        <v>-9.4718008383318036E-2</v>
      </c>
      <c r="H29" s="554">
        <f t="shared" si="2"/>
        <v>-21.559608771188753</v>
      </c>
      <c r="I29" s="45">
        <f t="shared" si="1"/>
        <v>20</v>
      </c>
      <c r="J29" s="781"/>
    </row>
    <row r="30" spans="1:12" x14ac:dyDescent="0.45">
      <c r="A30" s="45">
        <f t="shared" si="0"/>
        <v>21</v>
      </c>
      <c r="B30" s="220" t="s">
        <v>363</v>
      </c>
      <c r="C30" s="538">
        <f>C29+1</f>
        <v>2020</v>
      </c>
      <c r="D30" s="774"/>
      <c r="E30" s="775">
        <v>4.1999999999999997E-3</v>
      </c>
      <c r="F30" s="786">
        <f t="shared" si="5"/>
        <v>-21.559608771188753</v>
      </c>
      <c r="G30" s="313">
        <f t="shared" si="3"/>
        <v>-9.0550356838992763E-2</v>
      </c>
      <c r="H30" s="313">
        <f t="shared" si="2"/>
        <v>-21.650159128027745</v>
      </c>
      <c r="I30" s="45">
        <f t="shared" si="1"/>
        <v>21</v>
      </c>
      <c r="J30" s="781"/>
    </row>
    <row r="31" spans="1:12" x14ac:dyDescent="0.45">
      <c r="A31" s="45">
        <f t="shared" si="0"/>
        <v>22</v>
      </c>
      <c r="B31" s="220" t="s">
        <v>364</v>
      </c>
      <c r="C31" s="538">
        <f>C30</f>
        <v>2020</v>
      </c>
      <c r="D31" s="774"/>
      <c r="E31" s="775">
        <v>3.8999999999999998E-3</v>
      </c>
      <c r="F31" s="786">
        <f t="shared" si="5"/>
        <v>-21.650159128027745</v>
      </c>
      <c r="G31" s="313">
        <f t="shared" si="3"/>
        <v>-8.4435620599308203E-2</v>
      </c>
      <c r="H31" s="313">
        <f t="shared" si="2"/>
        <v>-21.734594748627053</v>
      </c>
      <c r="I31" s="45">
        <f t="shared" si="1"/>
        <v>22</v>
      </c>
      <c r="J31" s="781"/>
    </row>
    <row r="32" spans="1:12" x14ac:dyDescent="0.45">
      <c r="A32" s="45">
        <f t="shared" si="0"/>
        <v>23</v>
      </c>
      <c r="B32" s="220" t="s">
        <v>365</v>
      </c>
      <c r="C32" s="538">
        <f t="shared" ref="C32:C40" si="6">C31</f>
        <v>2020</v>
      </c>
      <c r="D32" s="774"/>
      <c r="E32" s="775">
        <v>4.1999999999999997E-3</v>
      </c>
      <c r="F32" s="786">
        <f t="shared" si="5"/>
        <v>-21.734594748627053</v>
      </c>
      <c r="G32" s="313">
        <f t="shared" si="3"/>
        <v>-9.1285297944233623E-2</v>
      </c>
      <c r="H32" s="313">
        <f t="shared" si="2"/>
        <v>-21.825880046571285</v>
      </c>
      <c r="I32" s="45">
        <f t="shared" si="1"/>
        <v>23</v>
      </c>
      <c r="J32" s="781"/>
    </row>
    <row r="33" spans="1:10" x14ac:dyDescent="0.45">
      <c r="A33" s="45">
        <f t="shared" si="0"/>
        <v>24</v>
      </c>
      <c r="B33" s="220" t="s">
        <v>366</v>
      </c>
      <c r="C33" s="538">
        <f t="shared" si="6"/>
        <v>2020</v>
      </c>
      <c r="D33" s="774"/>
      <c r="E33" s="775">
        <v>3.8999999999999998E-3</v>
      </c>
      <c r="F33" s="786">
        <f t="shared" si="5"/>
        <v>-21.825880046571285</v>
      </c>
      <c r="G33" s="313">
        <f t="shared" si="3"/>
        <v>-8.5120932181628015E-2</v>
      </c>
      <c r="H33" s="313">
        <f t="shared" si="2"/>
        <v>-21.911000978752913</v>
      </c>
      <c r="I33" s="45">
        <f t="shared" si="1"/>
        <v>24</v>
      </c>
      <c r="J33" s="781"/>
    </row>
    <row r="34" spans="1:10" x14ac:dyDescent="0.45">
      <c r="A34" s="45">
        <f t="shared" si="0"/>
        <v>25</v>
      </c>
      <c r="B34" s="220" t="s">
        <v>367</v>
      </c>
      <c r="C34" s="538">
        <f t="shared" si="6"/>
        <v>2020</v>
      </c>
      <c r="D34" s="774"/>
      <c r="E34" s="775">
        <v>4.0000000000000001E-3</v>
      </c>
      <c r="F34" s="786">
        <f t="shared" si="5"/>
        <v>-21.911000978752913</v>
      </c>
      <c r="G34" s="313">
        <f t="shared" si="3"/>
        <v>-8.7644003915011648E-2</v>
      </c>
      <c r="H34" s="313">
        <f t="shared" si="2"/>
        <v>-21.998644982667926</v>
      </c>
      <c r="I34" s="45">
        <f t="shared" si="1"/>
        <v>25</v>
      </c>
      <c r="J34" s="781"/>
    </row>
    <row r="35" spans="1:10" x14ac:dyDescent="0.45">
      <c r="A35" s="45">
        <f t="shared" si="0"/>
        <v>26</v>
      </c>
      <c r="B35" s="220" t="s">
        <v>368</v>
      </c>
      <c r="C35" s="538">
        <f t="shared" si="6"/>
        <v>2020</v>
      </c>
      <c r="D35" s="774"/>
      <c r="E35" s="775">
        <v>3.8999999999999998E-3</v>
      </c>
      <c r="F35" s="786">
        <f t="shared" si="5"/>
        <v>-21.998644982667926</v>
      </c>
      <c r="G35" s="313">
        <f t="shared" si="3"/>
        <v>-8.5794715432404911E-2</v>
      </c>
      <c r="H35" s="313">
        <f t="shared" si="2"/>
        <v>-22.084439698100333</v>
      </c>
      <c r="I35" s="45">
        <f t="shared" si="1"/>
        <v>26</v>
      </c>
      <c r="J35" s="781"/>
    </row>
    <row r="36" spans="1:10" x14ac:dyDescent="0.45">
      <c r="A36" s="45">
        <f t="shared" si="0"/>
        <v>27</v>
      </c>
      <c r="B36" s="220" t="s">
        <v>369</v>
      </c>
      <c r="C36" s="538">
        <f t="shared" si="6"/>
        <v>2020</v>
      </c>
      <c r="D36" s="774"/>
      <c r="E36" s="775">
        <v>2.8999999999999998E-3</v>
      </c>
      <c r="F36" s="786">
        <f t="shared" si="5"/>
        <v>-22.084439698100333</v>
      </c>
      <c r="G36" s="313">
        <f t="shared" si="3"/>
        <v>-6.404487512449096E-2</v>
      </c>
      <c r="H36" s="313">
        <f t="shared" si="2"/>
        <v>-22.148484573224824</v>
      </c>
      <c r="I36" s="45">
        <f t="shared" si="1"/>
        <v>27</v>
      </c>
      <c r="J36" s="781"/>
    </row>
    <row r="37" spans="1:10" x14ac:dyDescent="0.45">
      <c r="A37" s="45">
        <f t="shared" si="0"/>
        <v>28</v>
      </c>
      <c r="B37" s="220" t="s">
        <v>370</v>
      </c>
      <c r="C37" s="538">
        <f t="shared" si="6"/>
        <v>2020</v>
      </c>
      <c r="D37" s="774"/>
      <c r="E37" s="775">
        <v>2.8999999999999998E-3</v>
      </c>
      <c r="F37" s="786">
        <f t="shared" si="5"/>
        <v>-22.148484573224824</v>
      </c>
      <c r="G37" s="313">
        <f t="shared" si="3"/>
        <v>-6.4230605262351984E-2</v>
      </c>
      <c r="H37" s="313">
        <f t="shared" si="2"/>
        <v>-22.212715178487176</v>
      </c>
      <c r="I37" s="45">
        <f t="shared" si="1"/>
        <v>28</v>
      </c>
      <c r="J37" s="781"/>
    </row>
    <row r="38" spans="1:10" x14ac:dyDescent="0.45">
      <c r="A38" s="45">
        <f t="shared" si="0"/>
        <v>29</v>
      </c>
      <c r="B38" s="220" t="s">
        <v>371</v>
      </c>
      <c r="C38" s="538">
        <f t="shared" si="6"/>
        <v>2020</v>
      </c>
      <c r="D38" s="774"/>
      <c r="E38" s="775">
        <v>2.8E-3</v>
      </c>
      <c r="F38" s="786">
        <f t="shared" si="5"/>
        <v>-22.212715178487176</v>
      </c>
      <c r="G38" s="313">
        <f t="shared" si="3"/>
        <v>-6.2195602499764094E-2</v>
      </c>
      <c r="H38" s="313">
        <f t="shared" si="2"/>
        <v>-22.274910780986939</v>
      </c>
      <c r="I38" s="45">
        <f t="shared" si="1"/>
        <v>29</v>
      </c>
      <c r="J38" s="781"/>
    </row>
    <row r="39" spans="1:10" x14ac:dyDescent="0.45">
      <c r="A39" s="45">
        <f t="shared" si="0"/>
        <v>30</v>
      </c>
      <c r="B39" s="220" t="s">
        <v>372</v>
      </c>
      <c r="C39" s="538">
        <f t="shared" si="6"/>
        <v>2020</v>
      </c>
      <c r="D39" s="774"/>
      <c r="E39" s="775">
        <v>2.8E-3</v>
      </c>
      <c r="F39" s="786">
        <f t="shared" si="5"/>
        <v>-22.274910780986939</v>
      </c>
      <c r="G39" s="313">
        <f t="shared" si="3"/>
        <v>-6.2369750186763433E-2</v>
      </c>
      <c r="H39" s="313">
        <f t="shared" si="2"/>
        <v>-22.337280531173704</v>
      </c>
      <c r="I39" s="45">
        <f t="shared" si="1"/>
        <v>30</v>
      </c>
      <c r="J39" s="781"/>
    </row>
    <row r="40" spans="1:10" x14ac:dyDescent="0.45">
      <c r="A40" s="45">
        <f t="shared" si="0"/>
        <v>31</v>
      </c>
      <c r="B40" s="220" t="s">
        <v>373</v>
      </c>
      <c r="C40" s="538">
        <f t="shared" si="6"/>
        <v>2020</v>
      </c>
      <c r="D40" s="774"/>
      <c r="E40" s="775">
        <v>2.7000000000000001E-3</v>
      </c>
      <c r="F40" s="786">
        <f t="shared" si="5"/>
        <v>-22.337280531173704</v>
      </c>
      <c r="G40" s="313">
        <f t="shared" si="3"/>
        <v>-6.0310657434169003E-2</v>
      </c>
      <c r="H40" s="313">
        <f t="shared" si="2"/>
        <v>-22.397591188607873</v>
      </c>
      <c r="I40" s="45">
        <f t="shared" si="1"/>
        <v>31</v>
      </c>
      <c r="J40" s="781"/>
    </row>
    <row r="41" spans="1:10" x14ac:dyDescent="0.45">
      <c r="A41" s="45">
        <f t="shared" si="0"/>
        <v>32</v>
      </c>
      <c r="B41" s="551" t="s">
        <v>374</v>
      </c>
      <c r="C41" s="552">
        <f>C40</f>
        <v>2020</v>
      </c>
      <c r="D41" s="783"/>
      <c r="E41" s="784">
        <v>2.8E-3</v>
      </c>
      <c r="F41" s="785">
        <f t="shared" si="5"/>
        <v>-22.397591188607873</v>
      </c>
      <c r="G41" s="554">
        <f t="shared" si="3"/>
        <v>-6.2713255328102041E-2</v>
      </c>
      <c r="H41" s="554">
        <f t="shared" si="2"/>
        <v>-22.460304443935975</v>
      </c>
      <c r="I41" s="45">
        <f t="shared" si="1"/>
        <v>32</v>
      </c>
      <c r="J41" s="781"/>
    </row>
    <row r="42" spans="1:10" x14ac:dyDescent="0.45">
      <c r="A42" s="45">
        <f t="shared" si="0"/>
        <v>33</v>
      </c>
      <c r="B42" s="220" t="s">
        <v>363</v>
      </c>
      <c r="C42" s="538">
        <f>C41+1</f>
        <v>2021</v>
      </c>
      <c r="D42" s="774"/>
      <c r="E42" s="775">
        <v>2.8E-3</v>
      </c>
      <c r="F42" s="786">
        <f t="shared" si="5"/>
        <v>-22.460304443935975</v>
      </c>
      <c r="G42" s="313">
        <f t="shared" si="3"/>
        <v>-6.2888852443020726E-2</v>
      </c>
      <c r="H42" s="313">
        <f t="shared" si="2"/>
        <v>-22.523193296378995</v>
      </c>
      <c r="I42" s="45">
        <f t="shared" si="1"/>
        <v>33</v>
      </c>
      <c r="J42" s="781"/>
    </row>
    <row r="43" spans="1:10" x14ac:dyDescent="0.45">
      <c r="A43" s="45">
        <f t="shared" si="0"/>
        <v>34</v>
      </c>
      <c r="B43" s="220" t="s">
        <v>364</v>
      </c>
      <c r="C43" s="538">
        <f>C42</f>
        <v>2021</v>
      </c>
      <c r="D43" s="774"/>
      <c r="E43" s="775">
        <v>2.5000000000000001E-3</v>
      </c>
      <c r="F43" s="786">
        <f t="shared" si="5"/>
        <v>-22.523193296378995</v>
      </c>
      <c r="G43" s="313">
        <f t="shared" si="3"/>
        <v>-5.630798324094749E-2</v>
      </c>
      <c r="H43" s="313">
        <f t="shared" si="2"/>
        <v>-22.579501279619944</v>
      </c>
      <c r="I43" s="45">
        <f t="shared" si="1"/>
        <v>34</v>
      </c>
      <c r="J43" s="781"/>
    </row>
    <row r="44" spans="1:10" x14ac:dyDescent="0.45">
      <c r="A44" s="45">
        <f t="shared" si="0"/>
        <v>35</v>
      </c>
      <c r="B44" s="220" t="s">
        <v>365</v>
      </c>
      <c r="C44" s="538">
        <f t="shared" ref="C44:C52" si="7">C43</f>
        <v>2021</v>
      </c>
      <c r="D44" s="774"/>
      <c r="E44" s="775">
        <v>2.8E-3</v>
      </c>
      <c r="F44" s="786">
        <f t="shared" si="5"/>
        <v>-22.579501279619944</v>
      </c>
      <c r="G44" s="313">
        <f t="shared" si="3"/>
        <v>-6.3222603582935841E-2</v>
      </c>
      <c r="H44" s="313">
        <f t="shared" si="2"/>
        <v>-22.64272388320288</v>
      </c>
      <c r="I44" s="45">
        <f t="shared" si="1"/>
        <v>35</v>
      </c>
      <c r="J44" s="781"/>
    </row>
    <row r="45" spans="1:10" x14ac:dyDescent="0.45">
      <c r="A45" s="45">
        <f t="shared" si="0"/>
        <v>36</v>
      </c>
      <c r="B45" s="220" t="s">
        <v>366</v>
      </c>
      <c r="C45" s="538">
        <f t="shared" si="7"/>
        <v>2021</v>
      </c>
      <c r="D45" s="774"/>
      <c r="E45" s="775">
        <v>2.7000000000000001E-3</v>
      </c>
      <c r="F45" s="786">
        <f t="shared" si="5"/>
        <v>-22.64272388320288</v>
      </c>
      <c r="G45" s="313">
        <f t="shared" si="3"/>
        <v>-6.1135354484647776E-2</v>
      </c>
      <c r="H45" s="313">
        <f t="shared" si="2"/>
        <v>-22.703859237687528</v>
      </c>
      <c r="I45" s="45">
        <f t="shared" si="1"/>
        <v>36</v>
      </c>
      <c r="J45" s="781"/>
    </row>
    <row r="46" spans="1:10" x14ac:dyDescent="0.45">
      <c r="A46" s="45">
        <f t="shared" si="0"/>
        <v>37</v>
      </c>
      <c r="B46" s="220" t="s">
        <v>367</v>
      </c>
      <c r="C46" s="538">
        <f t="shared" si="7"/>
        <v>2021</v>
      </c>
      <c r="D46" s="774"/>
      <c r="E46" s="775">
        <v>2.8E-3</v>
      </c>
      <c r="F46" s="786">
        <f t="shared" si="5"/>
        <v>-22.703859237687528</v>
      </c>
      <c r="G46" s="313">
        <f t="shared" si="3"/>
        <v>-6.3570805865525076E-2</v>
      </c>
      <c r="H46" s="313">
        <f t="shared" si="2"/>
        <v>-22.767430043553052</v>
      </c>
      <c r="I46" s="45">
        <f t="shared" si="1"/>
        <v>37</v>
      </c>
      <c r="J46" s="781"/>
    </row>
    <row r="47" spans="1:10" x14ac:dyDescent="0.45">
      <c r="A47" s="45">
        <f t="shared" si="0"/>
        <v>38</v>
      </c>
      <c r="B47" s="220" t="s">
        <v>368</v>
      </c>
      <c r="C47" s="538">
        <f t="shared" si="7"/>
        <v>2021</v>
      </c>
      <c r="D47" s="774"/>
      <c r="E47" s="775">
        <v>2.7000000000000001E-3</v>
      </c>
      <c r="F47" s="786">
        <f t="shared" si="5"/>
        <v>-22.767430043553052</v>
      </c>
      <c r="G47" s="313">
        <f t="shared" si="3"/>
        <v>-6.1472061117593242E-2</v>
      </c>
      <c r="H47" s="313">
        <f t="shared" si="2"/>
        <v>-22.828902104670647</v>
      </c>
      <c r="I47" s="45">
        <f t="shared" si="1"/>
        <v>38</v>
      </c>
      <c r="J47" s="781"/>
    </row>
    <row r="48" spans="1:10" x14ac:dyDescent="0.45">
      <c r="A48" s="45">
        <f t="shared" si="0"/>
        <v>39</v>
      </c>
      <c r="B48" s="220" t="s">
        <v>369</v>
      </c>
      <c r="C48" s="538">
        <f t="shared" si="7"/>
        <v>2021</v>
      </c>
      <c r="D48" s="774"/>
      <c r="E48" s="775">
        <v>2.8E-3</v>
      </c>
      <c r="F48" s="786">
        <f t="shared" si="5"/>
        <v>-22.828902104670647</v>
      </c>
      <c r="G48" s="313">
        <f t="shared" si="3"/>
        <v>-6.392092589307781E-2</v>
      </c>
      <c r="H48" s="313">
        <f t="shared" si="2"/>
        <v>-22.892823030563726</v>
      </c>
      <c r="I48" s="45">
        <f t="shared" si="1"/>
        <v>39</v>
      </c>
      <c r="J48" s="781"/>
    </row>
    <row r="49" spans="1:10" x14ac:dyDescent="0.45">
      <c r="A49" s="45">
        <f t="shared" si="0"/>
        <v>40</v>
      </c>
      <c r="B49" s="220" t="s">
        <v>370</v>
      </c>
      <c r="C49" s="538">
        <f t="shared" si="7"/>
        <v>2021</v>
      </c>
      <c r="D49" s="774"/>
      <c r="E49" s="775">
        <v>2.8E-3</v>
      </c>
      <c r="F49" s="786">
        <f t="shared" si="5"/>
        <v>-22.892823030563726</v>
      </c>
      <c r="G49" s="313">
        <f t="shared" si="3"/>
        <v>-6.4099904485578438E-2</v>
      </c>
      <c r="H49" s="313">
        <f t="shared" si="2"/>
        <v>-22.956922935049302</v>
      </c>
      <c r="I49" s="45">
        <f t="shared" si="1"/>
        <v>40</v>
      </c>
      <c r="J49" s="781"/>
    </row>
    <row r="50" spans="1:10" x14ac:dyDescent="0.45">
      <c r="A50" s="45">
        <f t="shared" si="0"/>
        <v>41</v>
      </c>
      <c r="B50" s="220" t="s">
        <v>371</v>
      </c>
      <c r="C50" s="538">
        <f t="shared" si="7"/>
        <v>2021</v>
      </c>
      <c r="D50" s="774"/>
      <c r="E50" s="775">
        <v>2.7000000000000001E-3</v>
      </c>
      <c r="F50" s="786">
        <f t="shared" si="5"/>
        <v>-22.956922935049302</v>
      </c>
      <c r="G50" s="313">
        <f t="shared" si="3"/>
        <v>-6.1983691924633121E-2</v>
      </c>
      <c r="H50" s="313">
        <f t="shared" si="2"/>
        <v>-23.018906626973937</v>
      </c>
      <c r="I50" s="45">
        <f t="shared" si="1"/>
        <v>41</v>
      </c>
      <c r="J50" s="781"/>
    </row>
    <row r="51" spans="1:10" x14ac:dyDescent="0.45">
      <c r="A51" s="45">
        <f t="shared" si="0"/>
        <v>42</v>
      </c>
      <c r="B51" s="220" t="s">
        <v>372</v>
      </c>
      <c r="C51" s="538">
        <f t="shared" si="7"/>
        <v>2021</v>
      </c>
      <c r="D51" s="774"/>
      <c r="E51" s="775">
        <v>2.8E-3</v>
      </c>
      <c r="F51" s="786">
        <f t="shared" si="5"/>
        <v>-23.018906626973937</v>
      </c>
      <c r="G51" s="313">
        <f t="shared" si="3"/>
        <v>-6.4452938555527028E-2</v>
      </c>
      <c r="H51" s="313">
        <f t="shared" si="2"/>
        <v>-23.083359565529463</v>
      </c>
      <c r="I51" s="45">
        <f t="shared" si="1"/>
        <v>42</v>
      </c>
      <c r="J51" s="781"/>
    </row>
    <row r="52" spans="1:10" x14ac:dyDescent="0.45">
      <c r="A52" s="45">
        <f t="shared" si="0"/>
        <v>43</v>
      </c>
      <c r="B52" s="220" t="s">
        <v>373</v>
      </c>
      <c r="C52" s="538">
        <f t="shared" si="7"/>
        <v>2021</v>
      </c>
      <c r="D52" s="774"/>
      <c r="E52" s="775">
        <v>2.7000000000000001E-3</v>
      </c>
      <c r="F52" s="786">
        <f t="shared" si="5"/>
        <v>-23.083359565529463</v>
      </c>
      <c r="G52" s="313">
        <f t="shared" si="3"/>
        <v>-6.2325070826929556E-2</v>
      </c>
      <c r="H52" s="313">
        <f t="shared" si="2"/>
        <v>-23.145684636356393</v>
      </c>
      <c r="I52" s="45">
        <f t="shared" si="1"/>
        <v>43</v>
      </c>
      <c r="J52" s="781"/>
    </row>
    <row r="53" spans="1:10" x14ac:dyDescent="0.45">
      <c r="A53" s="45">
        <f t="shared" si="0"/>
        <v>44</v>
      </c>
      <c r="B53" s="551" t="s">
        <v>374</v>
      </c>
      <c r="C53" s="552">
        <f>C52</f>
        <v>2021</v>
      </c>
      <c r="D53" s="783"/>
      <c r="E53" s="784">
        <v>2.8E-3</v>
      </c>
      <c r="F53" s="785">
        <f t="shared" si="5"/>
        <v>-23.145684636356393</v>
      </c>
      <c r="G53" s="554">
        <f t="shared" si="3"/>
        <v>-6.48079169817979E-2</v>
      </c>
      <c r="H53" s="554">
        <f t="shared" si="2"/>
        <v>-23.210492553338192</v>
      </c>
      <c r="I53" s="45">
        <f t="shared" si="1"/>
        <v>44</v>
      </c>
      <c r="J53" s="781"/>
    </row>
    <row r="54" spans="1:10" ht="15.75" thickBot="1" x14ac:dyDescent="0.5">
      <c r="A54" s="45">
        <f t="shared" si="0"/>
        <v>45</v>
      </c>
      <c r="D54" s="787">
        <f>SUM(D18:D29)</f>
        <v>-20.976465003062458</v>
      </c>
      <c r="E54" s="788"/>
      <c r="F54" s="789"/>
      <c r="G54" s="561">
        <f>SUM(G18:G53)</f>
        <v>-2.2340275502757292</v>
      </c>
      <c r="H54" s="790"/>
      <c r="I54" s="45">
        <f t="shared" si="1"/>
        <v>45</v>
      </c>
    </row>
    <row r="55" spans="1:10" ht="15.75" thickTop="1" x14ac:dyDescent="0.45">
      <c r="D55" s="791"/>
      <c r="E55" s="791"/>
      <c r="F55" s="791"/>
      <c r="G55" s="564"/>
      <c r="H55" s="564"/>
    </row>
    <row r="56" spans="1:10" x14ac:dyDescent="0.45">
      <c r="B56" s="792"/>
    </row>
    <row r="57" spans="1:10" ht="17.25" x14ac:dyDescent="0.45">
      <c r="A57" s="566">
        <v>1</v>
      </c>
      <c r="B57" s="768" t="s">
        <v>379</v>
      </c>
      <c r="C57" s="793"/>
    </row>
    <row r="58" spans="1:10" ht="17.25" x14ac:dyDescent="0.45">
      <c r="A58" s="566">
        <v>2</v>
      </c>
      <c r="B58" s="768" t="s">
        <v>525</v>
      </c>
    </row>
    <row r="59" spans="1:10" ht="17.25" x14ac:dyDescent="0.45">
      <c r="A59" s="566">
        <v>3</v>
      </c>
      <c r="B59" s="768" t="s">
        <v>526</v>
      </c>
    </row>
    <row r="60" spans="1:10" x14ac:dyDescent="0.45">
      <c r="B60" s="768" t="s">
        <v>527</v>
      </c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&amp;CPage 11&amp;R&amp;F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1:M56"/>
  <sheetViews>
    <sheetView zoomScale="80" zoomScaleNormal="80" workbookViewId="0"/>
  </sheetViews>
  <sheetFormatPr defaultColWidth="8.86328125" defaultRowHeight="15.4" x14ac:dyDescent="0.45"/>
  <cols>
    <col min="1" max="1" width="5.1328125" style="45" customWidth="1"/>
    <col min="2" max="2" width="70.59765625" style="20" customWidth="1"/>
    <col min="3" max="3" width="14" style="20" customWidth="1"/>
    <col min="4" max="4" width="1.59765625" style="20" customWidth="1"/>
    <col min="5" max="5" width="13.796875" style="20" customWidth="1"/>
    <col min="6" max="6" width="1.59765625" style="20" customWidth="1"/>
    <col min="7" max="7" width="12.59765625" style="20" customWidth="1"/>
    <col min="8" max="8" width="40.59765625" style="20" customWidth="1"/>
    <col min="9" max="9" width="5.1328125" style="45" customWidth="1"/>
    <col min="10" max="16384" width="8.86328125" style="20"/>
  </cols>
  <sheetData>
    <row r="1" spans="1:11" x14ac:dyDescent="0.45">
      <c r="A1" s="287"/>
      <c r="B1" s="288"/>
      <c r="C1" s="288"/>
      <c r="D1" s="288"/>
      <c r="E1" s="288"/>
      <c r="F1" s="288"/>
      <c r="G1" s="288"/>
      <c r="H1" s="288"/>
      <c r="I1" s="287"/>
    </row>
    <row r="2" spans="1:11" x14ac:dyDescent="0.45">
      <c r="A2" s="287"/>
      <c r="B2" s="799" t="s">
        <v>24</v>
      </c>
      <c r="C2" s="799"/>
      <c r="D2" s="799"/>
      <c r="E2" s="799"/>
      <c r="F2" s="799"/>
      <c r="G2" s="799"/>
      <c r="H2" s="799"/>
      <c r="I2" s="288"/>
    </row>
    <row r="3" spans="1:11" x14ac:dyDescent="0.45">
      <c r="B3" s="799" t="s">
        <v>274</v>
      </c>
      <c r="C3" s="799"/>
      <c r="D3" s="799"/>
      <c r="E3" s="799"/>
      <c r="F3" s="799"/>
      <c r="G3" s="799"/>
      <c r="H3" s="799"/>
      <c r="I3" s="285"/>
    </row>
    <row r="4" spans="1:11" x14ac:dyDescent="0.45">
      <c r="B4" s="799" t="s">
        <v>517</v>
      </c>
      <c r="C4" s="799"/>
      <c r="D4" s="799"/>
      <c r="E4" s="799"/>
      <c r="F4" s="799"/>
      <c r="G4" s="799"/>
      <c r="H4" s="799"/>
      <c r="I4" s="285"/>
    </row>
    <row r="5" spans="1:11" x14ac:dyDescent="0.45">
      <c r="B5" s="799" t="s">
        <v>513</v>
      </c>
      <c r="C5" s="799"/>
      <c r="D5" s="799"/>
      <c r="E5" s="799"/>
      <c r="F5" s="799"/>
      <c r="G5" s="799"/>
      <c r="H5" s="799"/>
      <c r="I5" s="764"/>
    </row>
    <row r="6" spans="1:11" x14ac:dyDescent="0.45">
      <c r="B6" s="800" t="s">
        <v>1</v>
      </c>
      <c r="C6" s="799"/>
      <c r="D6" s="799"/>
      <c r="E6" s="799"/>
      <c r="F6" s="799"/>
      <c r="G6" s="799"/>
      <c r="H6" s="799"/>
      <c r="I6" s="285"/>
    </row>
    <row r="7" spans="1:11" x14ac:dyDescent="0.45">
      <c r="A7" s="287"/>
      <c r="B7" s="288"/>
      <c r="C7" s="289"/>
      <c r="D7" s="394"/>
      <c r="E7" s="394"/>
      <c r="F7" s="394"/>
      <c r="G7" s="394"/>
      <c r="H7" s="289"/>
      <c r="I7" s="287"/>
    </row>
    <row r="8" spans="1:11" ht="15.75" thickBot="1" x14ac:dyDescent="0.5">
      <c r="A8" s="287"/>
      <c r="B8" s="288"/>
      <c r="C8" s="408" t="s">
        <v>12</v>
      </c>
      <c r="D8" s="407"/>
      <c r="E8" s="408" t="s">
        <v>7</v>
      </c>
      <c r="F8" s="407"/>
      <c r="G8" s="408" t="s">
        <v>13</v>
      </c>
      <c r="H8" s="289"/>
      <c r="I8" s="287"/>
    </row>
    <row r="9" spans="1:11" ht="60" x14ac:dyDescent="0.45">
      <c r="A9" s="767" t="s">
        <v>2</v>
      </c>
      <c r="B9" s="409"/>
      <c r="C9" s="415" t="s">
        <v>518</v>
      </c>
      <c r="D9" s="288"/>
      <c r="E9" s="396" t="s">
        <v>519</v>
      </c>
      <c r="F9" s="24"/>
      <c r="G9" s="26" t="s">
        <v>14</v>
      </c>
      <c r="H9" s="294"/>
      <c r="I9" s="766" t="s">
        <v>2</v>
      </c>
    </row>
    <row r="10" spans="1:11" x14ac:dyDescent="0.45">
      <c r="A10" s="291" t="s">
        <v>6</v>
      </c>
      <c r="B10" s="297" t="s">
        <v>276</v>
      </c>
      <c r="C10" s="297" t="s">
        <v>4</v>
      </c>
      <c r="D10" s="297"/>
      <c r="E10" s="297" t="s">
        <v>4</v>
      </c>
      <c r="F10" s="297"/>
      <c r="G10" s="765" t="s">
        <v>15</v>
      </c>
      <c r="H10" s="297" t="s">
        <v>5</v>
      </c>
      <c r="I10" s="295" t="s">
        <v>6</v>
      </c>
    </row>
    <row r="11" spans="1:11" x14ac:dyDescent="0.45">
      <c r="A11" s="291"/>
      <c r="B11" s="410"/>
      <c r="C11" s="301"/>
      <c r="D11" s="300"/>
      <c r="E11" s="300"/>
      <c r="F11" s="300"/>
      <c r="G11" s="300"/>
      <c r="H11" s="301"/>
      <c r="I11" s="295"/>
    </row>
    <row r="12" spans="1:11" x14ac:dyDescent="0.45">
      <c r="A12" s="291">
        <v>1</v>
      </c>
      <c r="B12" s="411" t="s">
        <v>277</v>
      </c>
      <c r="C12" s="399">
        <f>'Pg3 Revised Appendix XII C3'!C11</f>
        <v>0</v>
      </c>
      <c r="D12" s="304"/>
      <c r="E12" s="399">
        <f>'Pg4 As Filed Appendix XII C3'!C11</f>
        <v>0</v>
      </c>
      <c r="F12" s="304"/>
      <c r="G12" s="304">
        <f>C12-E12</f>
        <v>0</v>
      </c>
      <c r="H12" s="8" t="s">
        <v>635</v>
      </c>
      <c r="I12" s="295">
        <f>A12</f>
        <v>1</v>
      </c>
      <c r="K12" s="23"/>
    </row>
    <row r="13" spans="1:11" x14ac:dyDescent="0.45">
      <c r="A13" s="291">
        <f>A12+1</f>
        <v>2</v>
      </c>
      <c r="B13" s="412"/>
      <c r="C13" s="416"/>
      <c r="D13" s="308"/>
      <c r="E13" s="308"/>
      <c r="F13" s="308"/>
      <c r="G13" s="308"/>
      <c r="H13" s="288"/>
      <c r="I13" s="295">
        <f>I12+1</f>
        <v>2</v>
      </c>
    </row>
    <row r="14" spans="1:11" ht="15.75" x14ac:dyDescent="0.5">
      <c r="A14" s="291">
        <f t="shared" ref="A14:A29" si="0">A13+1</f>
        <v>3</v>
      </c>
      <c r="B14" s="411" t="s">
        <v>278</v>
      </c>
      <c r="C14" s="417">
        <f>'Pg3 Revised Appendix XII C3'!C13</f>
        <v>826.58556167020424</v>
      </c>
      <c r="D14" s="28" t="s">
        <v>16</v>
      </c>
      <c r="E14" s="400">
        <f>'Pg4 As Filed Appendix XII C3'!C13</f>
        <v>839.75541697135111</v>
      </c>
      <c r="F14" s="282"/>
      <c r="G14" s="403">
        <f>C14-E14</f>
        <v>-13.169855301146868</v>
      </c>
      <c r="H14" s="8" t="s">
        <v>636</v>
      </c>
      <c r="I14" s="295">
        <f t="shared" ref="I14:I29" si="1">I13+1</f>
        <v>3</v>
      </c>
      <c r="K14" s="32"/>
    </row>
    <row r="15" spans="1:11" x14ac:dyDescent="0.45">
      <c r="A15" s="291">
        <f t="shared" si="0"/>
        <v>4</v>
      </c>
      <c r="B15" s="412"/>
      <c r="C15" s="416"/>
      <c r="D15" s="308"/>
      <c r="E15" s="308"/>
      <c r="F15" s="308"/>
      <c r="G15" s="308"/>
      <c r="H15" s="310"/>
      <c r="I15" s="295">
        <f t="shared" si="1"/>
        <v>4</v>
      </c>
    </row>
    <row r="16" spans="1:11" x14ac:dyDescent="0.45">
      <c r="A16" s="291">
        <f t="shared" si="0"/>
        <v>5</v>
      </c>
      <c r="B16" s="311" t="s">
        <v>279</v>
      </c>
      <c r="C16" s="38">
        <f>'Pg3 Revised Appendix XII C3'!C15</f>
        <v>7.6948476412275824</v>
      </c>
      <c r="D16" s="313"/>
      <c r="E16" s="38">
        <f>'Pg4 As Filed Appendix XII C3'!C15</f>
        <v>7.6948832581114317</v>
      </c>
      <c r="F16" s="313"/>
      <c r="G16" s="397">
        <f>C16-E16</f>
        <v>-3.5616883849343139E-5</v>
      </c>
      <c r="H16" s="8" t="s">
        <v>637</v>
      </c>
      <c r="I16" s="295">
        <f t="shared" si="1"/>
        <v>5</v>
      </c>
      <c r="K16" s="32"/>
    </row>
    <row r="17" spans="1:13" x14ac:dyDescent="0.45">
      <c r="A17" s="291">
        <f t="shared" si="0"/>
        <v>6</v>
      </c>
      <c r="B17" s="314"/>
      <c r="C17" s="313"/>
      <c r="D17" s="313"/>
      <c r="E17" s="313"/>
      <c r="F17" s="313"/>
      <c r="G17" s="313"/>
      <c r="H17" s="305"/>
      <c r="I17" s="295">
        <f t="shared" si="1"/>
        <v>6</v>
      </c>
      <c r="K17" s="32"/>
    </row>
    <row r="18" spans="1:13" ht="15.75" x14ac:dyDescent="0.5">
      <c r="A18" s="291">
        <f t="shared" si="0"/>
        <v>7</v>
      </c>
      <c r="B18" s="413" t="s">
        <v>498</v>
      </c>
      <c r="C18" s="418">
        <f>C12+C14+C16</f>
        <v>834.28040931143187</v>
      </c>
      <c r="D18" s="28" t="s">
        <v>16</v>
      </c>
      <c r="E18" s="398">
        <f>E12+E14+E16</f>
        <v>847.45030022946253</v>
      </c>
      <c r="F18" s="282"/>
      <c r="G18" s="418">
        <f>G12+G14+G16</f>
        <v>-13.169890918030717</v>
      </c>
      <c r="H18" s="317" t="str">
        <f>"Sum Lines "&amp;A12&amp;", "&amp;A14&amp;", "&amp;A16</f>
        <v>Sum Lines 1, 3, 5</v>
      </c>
      <c r="I18" s="295">
        <f t="shared" si="1"/>
        <v>7</v>
      </c>
      <c r="K18" s="32"/>
    </row>
    <row r="19" spans="1:13" x14ac:dyDescent="0.45">
      <c r="A19" s="291">
        <f t="shared" si="0"/>
        <v>8</v>
      </c>
      <c r="B19" s="414"/>
      <c r="C19" s="416"/>
      <c r="D19" s="308"/>
      <c r="E19" s="308"/>
      <c r="F19" s="308"/>
      <c r="G19" s="308"/>
      <c r="H19" s="319"/>
      <c r="I19" s="295">
        <f t="shared" si="1"/>
        <v>8</v>
      </c>
    </row>
    <row r="20" spans="1:13" ht="15.75" x14ac:dyDescent="0.5">
      <c r="A20" s="291">
        <f t="shared" si="0"/>
        <v>9</v>
      </c>
      <c r="B20" s="411" t="s">
        <v>280</v>
      </c>
      <c r="C20" s="417">
        <f>'Pg3 Revised Appendix XII C3'!C19</f>
        <v>-44.800881593981615</v>
      </c>
      <c r="D20" s="28" t="s">
        <v>16</v>
      </c>
      <c r="E20" s="401">
        <f>'Pg4 As Filed Appendix XII C3'!C19</f>
        <v>-36.99430750894976</v>
      </c>
      <c r="F20" s="282"/>
      <c r="G20" s="403">
        <f>C20-E20</f>
        <v>-7.8065740850318548</v>
      </c>
      <c r="H20" s="8" t="s">
        <v>638</v>
      </c>
      <c r="I20" s="295">
        <f t="shared" si="1"/>
        <v>9</v>
      </c>
    </row>
    <row r="21" spans="1:13" x14ac:dyDescent="0.45">
      <c r="A21" s="291">
        <f t="shared" si="0"/>
        <v>10</v>
      </c>
      <c r="B21" s="411"/>
      <c r="C21" s="416"/>
      <c r="D21" s="308"/>
      <c r="E21" s="308"/>
      <c r="F21" s="308"/>
      <c r="G21" s="308"/>
      <c r="H21" s="320"/>
      <c r="I21" s="295">
        <f t="shared" si="1"/>
        <v>10</v>
      </c>
    </row>
    <row r="22" spans="1:13" x14ac:dyDescent="0.45">
      <c r="A22" s="291">
        <f t="shared" si="0"/>
        <v>11</v>
      </c>
      <c r="B22" s="411" t="s">
        <v>281</v>
      </c>
      <c r="C22" s="38">
        <f>'Pg3 Revised Appendix XII C3'!C21</f>
        <v>0</v>
      </c>
      <c r="D22" s="313"/>
      <c r="E22" s="38">
        <f>'Pg4 As Filed Appendix XII C3'!C21</f>
        <v>0</v>
      </c>
      <c r="F22" s="313"/>
      <c r="G22" s="397">
        <f>C22-E22</f>
        <v>0</v>
      </c>
      <c r="H22" s="8" t="s">
        <v>639</v>
      </c>
      <c r="I22" s="295">
        <f t="shared" si="1"/>
        <v>11</v>
      </c>
    </row>
    <row r="23" spans="1:13" x14ac:dyDescent="0.45">
      <c r="A23" s="291">
        <f t="shared" si="0"/>
        <v>12</v>
      </c>
      <c r="B23" s="314"/>
      <c r="C23" s="419"/>
      <c r="D23" s="322"/>
      <c r="E23" s="322"/>
      <c r="F23" s="322"/>
      <c r="G23" s="322"/>
      <c r="H23" s="317"/>
      <c r="I23" s="295">
        <f t="shared" si="1"/>
        <v>12</v>
      </c>
    </row>
    <row r="24" spans="1:13" ht="15.75" x14ac:dyDescent="0.5">
      <c r="A24" s="291">
        <f t="shared" si="0"/>
        <v>13</v>
      </c>
      <c r="B24" s="314" t="s">
        <v>282</v>
      </c>
      <c r="C24" s="126">
        <f>C18+C20+C22</f>
        <v>789.47952771745031</v>
      </c>
      <c r="D24" s="28" t="s">
        <v>16</v>
      </c>
      <c r="E24" s="43">
        <f>E18+E20+E22</f>
        <v>810.45599272051277</v>
      </c>
      <c r="F24" s="282"/>
      <c r="G24" s="126">
        <f>G18+G20+G22</f>
        <v>-20.976465003062572</v>
      </c>
      <c r="H24" s="317" t="str">
        <f>"Sum Lines "&amp;A18&amp;", "&amp;A20&amp;", "&amp;A22</f>
        <v>Sum Lines 7, 9, 11</v>
      </c>
      <c r="I24" s="295">
        <f t="shared" si="1"/>
        <v>13</v>
      </c>
      <c r="K24" s="32"/>
    </row>
    <row r="25" spans="1:13" x14ac:dyDescent="0.45">
      <c r="A25" s="291">
        <f t="shared" si="0"/>
        <v>14</v>
      </c>
      <c r="B25" s="323"/>
      <c r="C25" s="105"/>
      <c r="D25" s="105"/>
      <c r="E25" s="105"/>
      <c r="F25" s="105"/>
      <c r="G25" s="105"/>
      <c r="H25" s="317"/>
      <c r="I25" s="295">
        <f t="shared" si="1"/>
        <v>14</v>
      </c>
      <c r="K25" s="32"/>
    </row>
    <row r="26" spans="1:13" x14ac:dyDescent="0.45">
      <c r="A26" s="291">
        <f t="shared" si="0"/>
        <v>15</v>
      </c>
      <c r="B26" s="311" t="s">
        <v>283</v>
      </c>
      <c r="C26" s="762">
        <f>'Pg3 Revised Appendix XII C3'!C25</f>
        <v>0</v>
      </c>
      <c r="D26" s="105"/>
      <c r="E26" s="402">
        <f>'Pg4 As Filed Appendix XII C3'!C25</f>
        <v>0</v>
      </c>
      <c r="F26" s="105"/>
      <c r="G26" s="142"/>
      <c r="H26" s="8" t="s">
        <v>640</v>
      </c>
      <c r="I26" s="295">
        <f t="shared" si="1"/>
        <v>15</v>
      </c>
      <c r="K26" s="32"/>
    </row>
    <row r="27" spans="1:13" x14ac:dyDescent="0.45">
      <c r="A27" s="291">
        <f t="shared" si="0"/>
        <v>16</v>
      </c>
      <c r="B27" s="289"/>
      <c r="C27" s="420"/>
      <c r="D27" s="326"/>
      <c r="E27" s="326"/>
      <c r="F27" s="326"/>
      <c r="G27" s="326"/>
      <c r="H27" s="317"/>
      <c r="I27" s="295">
        <f t="shared" si="1"/>
        <v>16</v>
      </c>
    </row>
    <row r="28" spans="1:13" ht="16.149999999999999" thickBot="1" x14ac:dyDescent="0.55000000000000004">
      <c r="A28" s="291">
        <f t="shared" si="0"/>
        <v>17</v>
      </c>
      <c r="B28" s="413" t="s">
        <v>284</v>
      </c>
      <c r="C28" s="421">
        <f>C24+C26</f>
        <v>789.47952771745031</v>
      </c>
      <c r="D28" s="28" t="s">
        <v>16</v>
      </c>
      <c r="E28" s="405">
        <f>E24+E26</f>
        <v>810.45599272051277</v>
      </c>
      <c r="F28" s="282"/>
      <c r="G28" s="406">
        <f>C28-E28</f>
        <v>-20.976465003062458</v>
      </c>
      <c r="H28" s="317" t="str">
        <f>"Line "&amp;A24&amp;" + Line "&amp;A26</f>
        <v>Line 13 + Line 15</v>
      </c>
      <c r="I28" s="295">
        <f t="shared" si="1"/>
        <v>17</v>
      </c>
      <c r="L28" s="23"/>
      <c r="M28" s="328"/>
    </row>
    <row r="29" spans="1:13" ht="16.149999999999999" thickTop="1" thickBot="1" x14ac:dyDescent="0.5">
      <c r="A29" s="291">
        <f t="shared" si="0"/>
        <v>18</v>
      </c>
      <c r="B29" s="290"/>
      <c r="C29" s="422"/>
      <c r="D29" s="290"/>
      <c r="E29" s="290"/>
      <c r="F29" s="290"/>
      <c r="G29" s="290"/>
      <c r="H29" s="290"/>
      <c r="I29" s="295">
        <f t="shared" si="1"/>
        <v>18</v>
      </c>
    </row>
    <row r="31" spans="1:13" ht="15.75" thickBot="1" x14ac:dyDescent="0.5">
      <c r="A31" s="287"/>
      <c r="B31" s="331"/>
      <c r="C31" s="332"/>
      <c r="D31" s="332"/>
      <c r="E31" s="332"/>
      <c r="F31" s="332"/>
      <c r="G31" s="332"/>
      <c r="H31" s="332"/>
      <c r="I31" s="287"/>
    </row>
    <row r="32" spans="1:13" ht="60.4" x14ac:dyDescent="0.45">
      <c r="A32" s="767" t="s">
        <v>2</v>
      </c>
      <c r="B32" s="395"/>
      <c r="C32" s="424" t="str">
        <f>C9</f>
        <v>Revised - Appendix XII Cycle 3</v>
      </c>
      <c r="D32" s="288"/>
      <c r="E32" s="423" t="str">
        <f>E9</f>
        <v>As Filed - Appendix XII Cycle 3 per ER 21-320</v>
      </c>
      <c r="F32" s="288"/>
      <c r="G32" s="288" t="str">
        <f>G9</f>
        <v>Difference</v>
      </c>
      <c r="H32" s="288"/>
      <c r="I32" s="766" t="s">
        <v>2</v>
      </c>
    </row>
    <row r="33" spans="1:9" x14ac:dyDescent="0.45">
      <c r="A33" s="291" t="s">
        <v>6</v>
      </c>
      <c r="B33" s="297" t="s">
        <v>285</v>
      </c>
      <c r="C33" s="297" t="str">
        <f>C10</f>
        <v>Amounts</v>
      </c>
      <c r="D33" s="297"/>
      <c r="E33" s="297" t="str">
        <f>E10</f>
        <v>Amounts</v>
      </c>
      <c r="F33" s="297"/>
      <c r="G33" s="297" t="str">
        <f>G10</f>
        <v>Incr (Decr)</v>
      </c>
      <c r="H33" s="297" t="str">
        <f>H10</f>
        <v>Reference</v>
      </c>
      <c r="I33" s="295" t="s">
        <v>6</v>
      </c>
    </row>
    <row r="34" spans="1:9" x14ac:dyDescent="0.45">
      <c r="A34" s="291">
        <f>A29+1</f>
        <v>19</v>
      </c>
      <c r="B34" s="394"/>
      <c r="C34" s="301"/>
      <c r="D34" s="300"/>
      <c r="E34" s="300"/>
      <c r="F34" s="300"/>
      <c r="G34" s="300"/>
      <c r="H34" s="301"/>
      <c r="I34" s="295">
        <f>I29+1</f>
        <v>19</v>
      </c>
    </row>
    <row r="35" spans="1:9" x14ac:dyDescent="0.45">
      <c r="A35" s="291">
        <f>A34+1</f>
        <v>20</v>
      </c>
      <c r="B35" s="411" t="str">
        <f>B12</f>
        <v>Section 1 - Direct Maintenance Expense Cost Component</v>
      </c>
      <c r="C35" s="336">
        <f>'Pg3 Revised Appendix XII C3'!C34</f>
        <v>0</v>
      </c>
      <c r="D35" s="336"/>
      <c r="E35" s="336">
        <f>'Pg4 As Filed Appendix XII C3'!C34</f>
        <v>0</v>
      </c>
      <c r="F35" s="336"/>
      <c r="G35" s="336">
        <f>C35-E35</f>
        <v>0</v>
      </c>
      <c r="H35" s="8" t="s">
        <v>641</v>
      </c>
      <c r="I35" s="295">
        <f>I34+1</f>
        <v>20</v>
      </c>
    </row>
    <row r="36" spans="1:9" x14ac:dyDescent="0.45">
      <c r="A36" s="291">
        <f t="shared" ref="A36:A54" si="2">A35+1</f>
        <v>21</v>
      </c>
      <c r="B36" s="412"/>
      <c r="C36" s="425"/>
      <c r="D36" s="338"/>
      <c r="E36" s="338"/>
      <c r="F36" s="338"/>
      <c r="G36" s="338"/>
      <c r="H36" s="339"/>
      <c r="I36" s="295">
        <f t="shared" ref="I36:I54" si="3">I35+1</f>
        <v>21</v>
      </c>
    </row>
    <row r="37" spans="1:9" ht="15.75" x14ac:dyDescent="0.5">
      <c r="A37" s="291">
        <f t="shared" si="2"/>
        <v>22</v>
      </c>
      <c r="B37" s="411" t="str">
        <f>B14</f>
        <v>Section 2 - Non-Direct Expense Cost Component</v>
      </c>
      <c r="C37" s="426">
        <f>'Pg3 Revised Appendix XII C3'!C36</f>
        <v>68.882130139183687</v>
      </c>
      <c r="D37" s="28" t="s">
        <v>16</v>
      </c>
      <c r="E37" s="431">
        <f>'Pg4 As Filed Appendix XII C3'!C36</f>
        <v>69.979618080945926</v>
      </c>
      <c r="F37" s="282"/>
      <c r="G37" s="438">
        <f>C37-E37</f>
        <v>-1.097487941762239</v>
      </c>
      <c r="H37" s="8" t="s">
        <v>642</v>
      </c>
      <c r="I37" s="295">
        <f t="shared" si="3"/>
        <v>22</v>
      </c>
    </row>
    <row r="38" spans="1:9" x14ac:dyDescent="0.45">
      <c r="A38" s="291">
        <f t="shared" si="2"/>
        <v>23</v>
      </c>
      <c r="B38" s="412"/>
      <c r="C38" s="427"/>
      <c r="D38" s="342"/>
      <c r="E38" s="342"/>
      <c r="F38" s="342"/>
      <c r="G38" s="342"/>
      <c r="H38" s="343"/>
      <c r="I38" s="295">
        <f t="shared" si="3"/>
        <v>23</v>
      </c>
    </row>
    <row r="39" spans="1:9" x14ac:dyDescent="0.45">
      <c r="A39" s="291">
        <f t="shared" si="2"/>
        <v>24</v>
      </c>
      <c r="B39" s="411" t="str">
        <f>B16</f>
        <v>Section 3 - Cost Component Containing Other Specific Expenses</v>
      </c>
      <c r="C39" s="432">
        <f>'Pg3 Revised Appendix XII C3'!C38</f>
        <v>0.6412373034356319</v>
      </c>
      <c r="D39" s="345"/>
      <c r="E39" s="432">
        <f>'Pg4 As Filed Appendix XII C3'!C38</f>
        <v>0.64124027150928598</v>
      </c>
      <c r="F39" s="345"/>
      <c r="G39" s="432">
        <f>C39-E39</f>
        <v>-2.9680736540749209E-6</v>
      </c>
      <c r="H39" s="8" t="s">
        <v>643</v>
      </c>
      <c r="I39" s="295">
        <f t="shared" si="3"/>
        <v>24</v>
      </c>
    </row>
    <row r="40" spans="1:9" x14ac:dyDescent="0.45">
      <c r="A40" s="291">
        <f t="shared" si="2"/>
        <v>25</v>
      </c>
      <c r="B40" s="414"/>
      <c r="C40" s="342"/>
      <c r="D40" s="342"/>
      <c r="E40" s="342"/>
      <c r="F40" s="342"/>
      <c r="G40" s="342"/>
      <c r="H40" s="305"/>
      <c r="I40" s="295">
        <f t="shared" si="3"/>
        <v>25</v>
      </c>
    </row>
    <row r="41" spans="1:9" ht="15.75" x14ac:dyDescent="0.5">
      <c r="A41" s="291">
        <f t="shared" si="2"/>
        <v>26</v>
      </c>
      <c r="B41" s="413" t="s">
        <v>499</v>
      </c>
      <c r="C41" s="428">
        <f>C35+C37+C39</f>
        <v>69.523367442619318</v>
      </c>
      <c r="D41" s="28" t="s">
        <v>16</v>
      </c>
      <c r="E41" s="435">
        <f>E35+E37+E39</f>
        <v>70.620858352455215</v>
      </c>
      <c r="F41" s="282"/>
      <c r="G41" s="439">
        <f>C41-E41</f>
        <v>-1.0974909098358978</v>
      </c>
      <c r="H41" s="317" t="str">
        <f>"Sum Lines "&amp;A35&amp;", "&amp;A37&amp;", "&amp;A39</f>
        <v>Sum Lines 20, 22, 24</v>
      </c>
      <c r="I41" s="295">
        <f t="shared" si="3"/>
        <v>26</v>
      </c>
    </row>
    <row r="42" spans="1:9" x14ac:dyDescent="0.45">
      <c r="A42" s="291">
        <f t="shared" si="2"/>
        <v>27</v>
      </c>
      <c r="B42" s="394"/>
      <c r="C42" s="427"/>
      <c r="D42" s="342"/>
      <c r="E42" s="342"/>
      <c r="F42" s="342"/>
      <c r="G42" s="342"/>
      <c r="H42" s="310"/>
      <c r="I42" s="295">
        <f t="shared" si="3"/>
        <v>27</v>
      </c>
    </row>
    <row r="43" spans="1:9" ht="15.75" x14ac:dyDescent="0.5">
      <c r="A43" s="291">
        <f t="shared" si="2"/>
        <v>28</v>
      </c>
      <c r="B43" s="411" t="str">
        <f>LEFT(B20,45)</f>
        <v>Section 4 - True-Up Adjustment Cost Component</v>
      </c>
      <c r="C43" s="426">
        <f>'Pg3 Revised Appendix XII C3'!C42</f>
        <v>-3.7334067994984679</v>
      </c>
      <c r="D43" s="28" t="s">
        <v>16</v>
      </c>
      <c r="E43" s="433">
        <f>'Pg4 As Filed Appendix XII C3'!C42</f>
        <v>-3.0828589590791466</v>
      </c>
      <c r="F43" s="282"/>
      <c r="G43" s="438">
        <f>C43-E43</f>
        <v>-0.65054784041932123</v>
      </c>
      <c r="H43" s="8" t="s">
        <v>644</v>
      </c>
      <c r="I43" s="295">
        <f t="shared" si="3"/>
        <v>28</v>
      </c>
    </row>
    <row r="44" spans="1:9" x14ac:dyDescent="0.45">
      <c r="A44" s="291">
        <f t="shared" si="2"/>
        <v>29</v>
      </c>
      <c r="B44" s="411"/>
      <c r="C44" s="427"/>
      <c r="D44" s="342"/>
      <c r="E44" s="342"/>
      <c r="F44" s="342"/>
      <c r="G44" s="342"/>
      <c r="H44" s="348"/>
      <c r="I44" s="295">
        <f t="shared" si="3"/>
        <v>29</v>
      </c>
    </row>
    <row r="45" spans="1:9" x14ac:dyDescent="0.45">
      <c r="A45" s="291">
        <f t="shared" si="2"/>
        <v>30</v>
      </c>
      <c r="B45" s="411" t="str">
        <f>B22</f>
        <v>Section 5 - Interest True-Up Adjustment Cost Component</v>
      </c>
      <c r="C45" s="345">
        <f>'Pg3 Revised Appendix XII C3'!C44</f>
        <v>0</v>
      </c>
      <c r="D45" s="345"/>
      <c r="E45" s="345">
        <f>'Pg4 As Filed Appendix XII C3'!C44</f>
        <v>0</v>
      </c>
      <c r="F45" s="345"/>
      <c r="G45" s="345">
        <f>C45-E45</f>
        <v>0</v>
      </c>
      <c r="H45" s="8" t="s">
        <v>645</v>
      </c>
      <c r="I45" s="295">
        <f t="shared" si="3"/>
        <v>30</v>
      </c>
    </row>
    <row r="46" spans="1:9" x14ac:dyDescent="0.45">
      <c r="A46" s="291">
        <f t="shared" si="2"/>
        <v>31</v>
      </c>
      <c r="B46" s="414"/>
      <c r="C46" s="34"/>
      <c r="D46" s="33"/>
      <c r="E46" s="33"/>
      <c r="F46" s="33"/>
      <c r="G46" s="33"/>
      <c r="H46" s="351"/>
      <c r="I46" s="295">
        <f t="shared" si="3"/>
        <v>31</v>
      </c>
    </row>
    <row r="47" spans="1:9" x14ac:dyDescent="0.45">
      <c r="A47" s="291">
        <f t="shared" si="2"/>
        <v>32</v>
      </c>
      <c r="B47" s="311" t="str">
        <f>B26</f>
        <v>Other Adjustments</v>
      </c>
      <c r="C47" s="432">
        <f>'Pg3 Revised Appendix XII C3'!C46</f>
        <v>0</v>
      </c>
      <c r="D47" s="345"/>
      <c r="E47" s="432">
        <f>'Pg4 As Filed Appendix XII C3'!C46</f>
        <v>0</v>
      </c>
      <c r="F47" s="345"/>
      <c r="G47" s="432">
        <f>C47-E47</f>
        <v>0</v>
      </c>
      <c r="H47" s="8" t="s">
        <v>646</v>
      </c>
      <c r="I47" s="295">
        <f t="shared" si="3"/>
        <v>32</v>
      </c>
    </row>
    <row r="48" spans="1:9" x14ac:dyDescent="0.45">
      <c r="A48" s="291">
        <f t="shared" si="2"/>
        <v>33</v>
      </c>
      <c r="B48" s="314"/>
      <c r="C48" s="34"/>
      <c r="D48" s="33"/>
      <c r="E48" s="33"/>
      <c r="F48" s="33"/>
      <c r="G48" s="33"/>
      <c r="H48" s="351"/>
      <c r="I48" s="295">
        <f t="shared" si="3"/>
        <v>33</v>
      </c>
    </row>
    <row r="49" spans="1:9" ht="15.75" x14ac:dyDescent="0.5">
      <c r="A49" s="291">
        <f t="shared" si="2"/>
        <v>34</v>
      </c>
      <c r="B49" s="314" t="s">
        <v>286</v>
      </c>
      <c r="C49" s="429">
        <f>C41+C43+C45+C47</f>
        <v>65.78996064312085</v>
      </c>
      <c r="D49" s="28" t="s">
        <v>16</v>
      </c>
      <c r="E49" s="434">
        <f>E41+E43+E45+E47</f>
        <v>67.537999393376069</v>
      </c>
      <c r="F49" s="282"/>
      <c r="G49" s="429">
        <f>G41+G43+G45+G47</f>
        <v>-1.748038750255219</v>
      </c>
      <c r="H49" s="317" t="str">
        <f>"Sum Lines "&amp;A41&amp;", "&amp;A43&amp;", "&amp;A45&amp;", "&amp;A47</f>
        <v>Sum Lines 26, 28, 30, 32</v>
      </c>
      <c r="I49" s="295">
        <f t="shared" si="3"/>
        <v>34</v>
      </c>
    </row>
    <row r="50" spans="1:9" x14ac:dyDescent="0.45">
      <c r="A50" s="291">
        <f t="shared" si="2"/>
        <v>35</v>
      </c>
      <c r="B50" s="394"/>
      <c r="C50" s="430"/>
      <c r="D50" s="354"/>
      <c r="E50" s="354"/>
      <c r="F50" s="354"/>
      <c r="G50" s="354"/>
      <c r="H50" s="355"/>
      <c r="I50" s="295">
        <f t="shared" si="3"/>
        <v>35</v>
      </c>
    </row>
    <row r="51" spans="1:9" x14ac:dyDescent="0.45">
      <c r="A51" s="291">
        <f t="shared" si="2"/>
        <v>36</v>
      </c>
      <c r="B51" s="412" t="s">
        <v>287</v>
      </c>
      <c r="C51" s="440">
        <f>'Pg3 Revised Appendix XII C3'!C50</f>
        <v>12</v>
      </c>
      <c r="D51" s="357"/>
      <c r="E51" s="440">
        <f>'Pg4 As Filed Appendix XII C3'!C50</f>
        <v>12</v>
      </c>
      <c r="F51" s="357"/>
      <c r="G51" s="441">
        <f>C51-E51</f>
        <v>0</v>
      </c>
      <c r="H51" s="355"/>
      <c r="I51" s="295">
        <f t="shared" si="3"/>
        <v>36</v>
      </c>
    </row>
    <row r="52" spans="1:9" x14ac:dyDescent="0.45">
      <c r="A52" s="291">
        <f t="shared" si="2"/>
        <v>37</v>
      </c>
      <c r="B52" s="394"/>
      <c r="C52" s="430"/>
      <c r="D52" s="354"/>
      <c r="E52" s="354"/>
      <c r="F52" s="354"/>
      <c r="G52" s="354"/>
      <c r="H52" s="358"/>
      <c r="I52" s="295">
        <f t="shared" si="3"/>
        <v>37</v>
      </c>
    </row>
    <row r="53" spans="1:9" ht="16.149999999999999" thickBot="1" x14ac:dyDescent="0.55000000000000004">
      <c r="A53" s="291">
        <f t="shared" si="2"/>
        <v>38</v>
      </c>
      <c r="B53" s="413" t="str">
        <f>B28</f>
        <v>Total Annual Costs</v>
      </c>
      <c r="C53" s="437">
        <f>C49*C51</f>
        <v>789.4795277174502</v>
      </c>
      <c r="D53" s="28" t="s">
        <v>16</v>
      </c>
      <c r="E53" s="795">
        <f>E49*E51</f>
        <v>810.45599272051277</v>
      </c>
      <c r="F53" s="282"/>
      <c r="G53" s="406">
        <f>C53-E53</f>
        <v>-20.976465003062572</v>
      </c>
      <c r="H53" s="8" t="s">
        <v>647</v>
      </c>
      <c r="I53" s="295">
        <f t="shared" si="3"/>
        <v>38</v>
      </c>
    </row>
    <row r="54" spans="1:9" ht="16.149999999999999" thickTop="1" thickBot="1" x14ac:dyDescent="0.5">
      <c r="A54" s="291">
        <f t="shared" si="2"/>
        <v>39</v>
      </c>
      <c r="B54" s="290"/>
      <c r="C54" s="436"/>
      <c r="D54" s="361"/>
      <c r="E54" s="361"/>
      <c r="F54" s="361"/>
      <c r="G54" s="361"/>
      <c r="H54" s="362"/>
      <c r="I54" s="295">
        <f t="shared" si="3"/>
        <v>39</v>
      </c>
    </row>
    <row r="56" spans="1:9" ht="15.75" x14ac:dyDescent="0.5">
      <c r="A56" s="28" t="s">
        <v>16</v>
      </c>
      <c r="B56" s="25" t="s">
        <v>288</v>
      </c>
    </row>
  </sheetData>
  <mergeCells count="5">
    <mergeCell ref="B2:H2"/>
    <mergeCell ref="B3:H3"/>
    <mergeCell ref="B4:H4"/>
    <mergeCell ref="B6:H6"/>
    <mergeCell ref="B5:H5"/>
  </mergeCells>
  <printOptions horizontalCentered="1"/>
  <pageMargins left="0.25" right="0.25" top="0.5" bottom="0.5" header="0.25" footer="0.25"/>
  <pageSetup scale="61" orientation="portrait" r:id="rId1"/>
  <headerFooter scaleWithDoc="0" alignWithMargins="0">
    <oddFooter>&amp;CPage 2&amp;R&amp;F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5"/>
  <sheetViews>
    <sheetView zoomScale="80" zoomScaleNormal="80" workbookViewId="0"/>
  </sheetViews>
  <sheetFormatPr defaultColWidth="8.86328125" defaultRowHeight="15.4" x14ac:dyDescent="0.45"/>
  <cols>
    <col min="1" max="1" width="5.1328125" style="45" customWidth="1"/>
    <col min="2" max="2" width="73.1328125" style="20" bestFit="1" customWidth="1"/>
    <col min="3" max="3" width="14.86328125" style="20" customWidth="1"/>
    <col min="4" max="4" width="1.59765625" style="20" customWidth="1"/>
    <col min="5" max="5" width="51.3984375" style="20" bestFit="1" customWidth="1"/>
    <col min="6" max="6" width="5.1328125" style="45" customWidth="1"/>
    <col min="7" max="16384" width="8.86328125" style="20"/>
  </cols>
  <sheetData>
    <row r="1" spans="1:8" x14ac:dyDescent="0.45">
      <c r="A1" s="287"/>
      <c r="B1" s="682"/>
      <c r="C1" s="682"/>
      <c r="D1" s="682"/>
      <c r="E1" s="680"/>
      <c r="F1" s="287"/>
    </row>
    <row r="2" spans="1:8" x14ac:dyDescent="0.45">
      <c r="A2" s="287"/>
      <c r="B2" s="799" t="s">
        <v>24</v>
      </c>
      <c r="C2" s="799"/>
      <c r="D2" s="799"/>
      <c r="E2" s="799"/>
      <c r="F2" s="682"/>
    </row>
    <row r="3" spans="1:8" x14ac:dyDescent="0.45">
      <c r="B3" s="799" t="s">
        <v>274</v>
      </c>
      <c r="C3" s="799"/>
      <c r="D3" s="799"/>
      <c r="E3" s="799"/>
      <c r="F3" s="687"/>
    </row>
    <row r="4" spans="1:8" x14ac:dyDescent="0.45">
      <c r="B4" s="799" t="s">
        <v>275</v>
      </c>
      <c r="C4" s="799"/>
      <c r="D4" s="799"/>
      <c r="E4" s="799"/>
      <c r="F4" s="687"/>
    </row>
    <row r="5" spans="1:8" x14ac:dyDescent="0.45">
      <c r="A5" s="287"/>
      <c r="B5" s="801" t="s">
        <v>528</v>
      </c>
      <c r="C5" s="801"/>
      <c r="D5" s="801"/>
      <c r="E5" s="801"/>
      <c r="F5" s="287"/>
    </row>
    <row r="6" spans="1:8" x14ac:dyDescent="0.45">
      <c r="B6" s="800" t="s">
        <v>1</v>
      </c>
      <c r="C6" s="799"/>
      <c r="D6" s="799"/>
      <c r="E6" s="799"/>
      <c r="F6" s="687"/>
    </row>
    <row r="7" spans="1:8" ht="15.75" thickBot="1" x14ac:dyDescent="0.5">
      <c r="A7" s="287"/>
      <c r="B7" s="682"/>
      <c r="C7" s="289"/>
      <c r="D7" s="290"/>
      <c r="E7" s="289"/>
      <c r="F7" s="287"/>
    </row>
    <row r="8" spans="1:8" x14ac:dyDescent="0.45">
      <c r="A8" s="291" t="s">
        <v>2</v>
      </c>
      <c r="B8" s="292"/>
      <c r="C8" s="293"/>
      <c r="D8" s="682"/>
      <c r="E8" s="294"/>
      <c r="F8" s="295" t="s">
        <v>2</v>
      </c>
    </row>
    <row r="9" spans="1:8" x14ac:dyDescent="0.45">
      <c r="A9" s="291" t="s">
        <v>6</v>
      </c>
      <c r="B9" s="689" t="s">
        <v>276</v>
      </c>
      <c r="C9" s="690" t="s">
        <v>4</v>
      </c>
      <c r="D9" s="691"/>
      <c r="E9" s="691" t="s">
        <v>5</v>
      </c>
      <c r="F9" s="295" t="s">
        <v>6</v>
      </c>
    </row>
    <row r="10" spans="1:8" x14ac:dyDescent="0.45">
      <c r="A10" s="291"/>
      <c r="B10" s="298"/>
      <c r="C10" s="299"/>
      <c r="D10" s="300"/>
      <c r="E10" s="301"/>
      <c r="F10" s="295"/>
    </row>
    <row r="11" spans="1:8" x14ac:dyDescent="0.45">
      <c r="A11" s="291">
        <v>1</v>
      </c>
      <c r="B11" s="302" t="s">
        <v>277</v>
      </c>
      <c r="C11" s="303">
        <v>0</v>
      </c>
      <c r="D11" s="304"/>
      <c r="E11" s="305" t="s">
        <v>529</v>
      </c>
      <c r="F11" s="295">
        <f>A11</f>
        <v>1</v>
      </c>
      <c r="H11" s="23"/>
    </row>
    <row r="12" spans="1:8" x14ac:dyDescent="0.45">
      <c r="A12" s="291">
        <f>A11+1</f>
        <v>2</v>
      </c>
      <c r="B12" s="306"/>
      <c r="C12" s="307"/>
      <c r="D12" s="308"/>
      <c r="E12" s="682"/>
      <c r="F12" s="295">
        <f>F11+1</f>
        <v>2</v>
      </c>
    </row>
    <row r="13" spans="1:8" ht="15.75" x14ac:dyDescent="0.5">
      <c r="A13" s="291">
        <f t="shared" ref="A13:A28" si="0">A12+1</f>
        <v>3</v>
      </c>
      <c r="B13" s="302" t="s">
        <v>278</v>
      </c>
      <c r="C13" s="309">
        <f>'Pg5 Rev B.Sec.2-Non-Direct Exp'!E35</f>
        <v>826.58556167020424</v>
      </c>
      <c r="D13" s="28" t="s">
        <v>16</v>
      </c>
      <c r="E13" s="305" t="s">
        <v>530</v>
      </c>
      <c r="F13" s="295">
        <f t="shared" ref="F13:F28" si="1">F12+1</f>
        <v>3</v>
      </c>
      <c r="H13" s="32"/>
    </row>
    <row r="14" spans="1:8" x14ac:dyDescent="0.45">
      <c r="A14" s="291">
        <f t="shared" si="0"/>
        <v>4</v>
      </c>
      <c r="B14" s="306"/>
      <c r="C14" s="307"/>
      <c r="D14" s="308"/>
      <c r="E14" s="310"/>
      <c r="F14" s="295">
        <f t="shared" si="1"/>
        <v>4</v>
      </c>
    </row>
    <row r="15" spans="1:8" x14ac:dyDescent="0.45">
      <c r="A15" s="291">
        <f t="shared" si="0"/>
        <v>5</v>
      </c>
      <c r="B15" s="311" t="s">
        <v>279</v>
      </c>
      <c r="C15" s="692">
        <v>7.6948476412275824</v>
      </c>
      <c r="D15" s="313"/>
      <c r="E15" s="305" t="s">
        <v>531</v>
      </c>
      <c r="F15" s="295">
        <f t="shared" si="1"/>
        <v>5</v>
      </c>
      <c r="H15" s="32"/>
    </row>
    <row r="16" spans="1:8" x14ac:dyDescent="0.45">
      <c r="A16" s="291">
        <f t="shared" si="0"/>
        <v>6</v>
      </c>
      <c r="B16" s="314"/>
      <c r="C16" s="175"/>
      <c r="D16" s="313"/>
      <c r="E16" s="305"/>
      <c r="F16" s="295">
        <f t="shared" si="1"/>
        <v>6</v>
      </c>
      <c r="H16" s="32"/>
    </row>
    <row r="17" spans="1:10" ht="15.75" x14ac:dyDescent="0.5">
      <c r="A17" s="291">
        <f t="shared" si="0"/>
        <v>7</v>
      </c>
      <c r="B17" s="315" t="s">
        <v>498</v>
      </c>
      <c r="C17" s="316">
        <f>C11+C13+C15</f>
        <v>834.28040931143187</v>
      </c>
      <c r="D17" s="28" t="s">
        <v>16</v>
      </c>
      <c r="E17" s="317" t="s">
        <v>532</v>
      </c>
      <c r="F17" s="295">
        <f t="shared" si="1"/>
        <v>7</v>
      </c>
      <c r="H17" s="32"/>
    </row>
    <row r="18" spans="1:10" x14ac:dyDescent="0.45">
      <c r="A18" s="291">
        <f t="shared" si="0"/>
        <v>8</v>
      </c>
      <c r="B18" s="318"/>
      <c r="C18" s="307"/>
      <c r="D18" s="308"/>
      <c r="E18" s="319"/>
      <c r="F18" s="295">
        <f t="shared" si="1"/>
        <v>8</v>
      </c>
    </row>
    <row r="19" spans="1:10" ht="15.75" x14ac:dyDescent="0.5">
      <c r="A19" s="291">
        <f t="shared" si="0"/>
        <v>9</v>
      </c>
      <c r="B19" s="302" t="s">
        <v>280</v>
      </c>
      <c r="C19" s="309">
        <f>'Pg6 Revised D.Sec.4-TU'!M30</f>
        <v>-44.800881593981615</v>
      </c>
      <c r="D19" s="28" t="s">
        <v>16</v>
      </c>
      <c r="E19" s="305" t="s">
        <v>533</v>
      </c>
      <c r="F19" s="295">
        <f t="shared" si="1"/>
        <v>9</v>
      </c>
    </row>
    <row r="20" spans="1:10" x14ac:dyDescent="0.45">
      <c r="A20" s="291">
        <f t="shared" si="0"/>
        <v>10</v>
      </c>
      <c r="B20" s="302"/>
      <c r="C20" s="307"/>
      <c r="D20" s="308"/>
      <c r="E20" s="320"/>
      <c r="F20" s="295">
        <f t="shared" si="1"/>
        <v>10</v>
      </c>
    </row>
    <row r="21" spans="1:10" x14ac:dyDescent="0.45">
      <c r="A21" s="291">
        <f t="shared" si="0"/>
        <v>11</v>
      </c>
      <c r="B21" s="302" t="s">
        <v>281</v>
      </c>
      <c r="C21" s="692">
        <v>0</v>
      </c>
      <c r="D21" s="313"/>
      <c r="E21" s="317" t="s">
        <v>534</v>
      </c>
      <c r="F21" s="295">
        <f t="shared" si="1"/>
        <v>11</v>
      </c>
    </row>
    <row r="22" spans="1:10" x14ac:dyDescent="0.45">
      <c r="A22" s="291">
        <f t="shared" si="0"/>
        <v>12</v>
      </c>
      <c r="B22" s="314"/>
      <c r="C22" s="321"/>
      <c r="D22" s="322"/>
      <c r="E22" s="317"/>
      <c r="F22" s="295">
        <f t="shared" si="1"/>
        <v>12</v>
      </c>
    </row>
    <row r="23" spans="1:10" ht="15.75" x14ac:dyDescent="0.5">
      <c r="A23" s="291">
        <f t="shared" si="0"/>
        <v>13</v>
      </c>
      <c r="B23" s="314" t="s">
        <v>282</v>
      </c>
      <c r="C23" s="128">
        <f>C17+C19+C21</f>
        <v>789.47952771745031</v>
      </c>
      <c r="D23" s="28" t="s">
        <v>16</v>
      </c>
      <c r="E23" s="317" t="s">
        <v>535</v>
      </c>
      <c r="F23" s="295">
        <f t="shared" si="1"/>
        <v>13</v>
      </c>
      <c r="H23" s="32"/>
    </row>
    <row r="24" spans="1:10" x14ac:dyDescent="0.45">
      <c r="A24" s="291">
        <f t="shared" si="0"/>
        <v>14</v>
      </c>
      <c r="B24" s="323"/>
      <c r="C24" s="104"/>
      <c r="D24" s="105"/>
      <c r="E24" s="317"/>
      <c r="F24" s="295">
        <f t="shared" si="1"/>
        <v>14</v>
      </c>
      <c r="H24" s="32"/>
    </row>
    <row r="25" spans="1:10" x14ac:dyDescent="0.45">
      <c r="A25" s="291">
        <f t="shared" si="0"/>
        <v>15</v>
      </c>
      <c r="B25" s="311" t="s">
        <v>283</v>
      </c>
      <c r="C25" s="693">
        <v>0</v>
      </c>
      <c r="D25" s="105"/>
      <c r="E25" s="317" t="s">
        <v>23</v>
      </c>
      <c r="F25" s="295">
        <f t="shared" si="1"/>
        <v>15</v>
      </c>
      <c r="H25" s="32"/>
    </row>
    <row r="26" spans="1:10" x14ac:dyDescent="0.45">
      <c r="A26" s="291">
        <f t="shared" si="0"/>
        <v>16</v>
      </c>
      <c r="B26" s="289"/>
      <c r="C26" s="325"/>
      <c r="D26" s="326"/>
      <c r="E26" s="317"/>
      <c r="F26" s="295">
        <f t="shared" si="1"/>
        <v>16</v>
      </c>
    </row>
    <row r="27" spans="1:10" ht="16.149999999999999" thickBot="1" x14ac:dyDescent="0.55000000000000004">
      <c r="A27" s="291">
        <f t="shared" si="0"/>
        <v>17</v>
      </c>
      <c r="B27" s="315" t="s">
        <v>284</v>
      </c>
      <c r="C27" s="327">
        <f>C23+C25</f>
        <v>789.47952771745031</v>
      </c>
      <c r="D27" s="28" t="s">
        <v>16</v>
      </c>
      <c r="E27" s="317" t="s">
        <v>536</v>
      </c>
      <c r="F27" s="295">
        <f t="shared" si="1"/>
        <v>17</v>
      </c>
      <c r="I27" s="23"/>
      <c r="J27" s="328"/>
    </row>
    <row r="28" spans="1:10" ht="16.149999999999999" thickTop="1" thickBot="1" x14ac:dyDescent="0.5">
      <c r="A28" s="291">
        <f t="shared" si="0"/>
        <v>18</v>
      </c>
      <c r="B28" s="329"/>
      <c r="C28" s="330"/>
      <c r="D28" s="290"/>
      <c r="E28" s="290"/>
      <c r="F28" s="295">
        <f t="shared" si="1"/>
        <v>18</v>
      </c>
    </row>
    <row r="30" spans="1:10" ht="15.75" thickBot="1" x14ac:dyDescent="0.5">
      <c r="A30" s="287"/>
      <c r="B30" s="331"/>
      <c r="C30" s="332"/>
      <c r="D30" s="332"/>
      <c r="E30" s="332"/>
      <c r="F30" s="287"/>
    </row>
    <row r="31" spans="1:10" x14ac:dyDescent="0.45">
      <c r="A31" s="291" t="s">
        <v>2</v>
      </c>
      <c r="B31" s="333"/>
      <c r="C31" s="293"/>
      <c r="D31" s="682"/>
      <c r="E31" s="682"/>
      <c r="F31" s="295" t="s">
        <v>2</v>
      </c>
    </row>
    <row r="32" spans="1:10" x14ac:dyDescent="0.45">
      <c r="A32" s="291" t="s">
        <v>6</v>
      </c>
      <c r="B32" s="689" t="s">
        <v>285</v>
      </c>
      <c r="C32" s="690" t="str">
        <f>C9</f>
        <v>Amounts</v>
      </c>
      <c r="D32" s="691"/>
      <c r="E32" s="691" t="str">
        <f>E9</f>
        <v>Reference</v>
      </c>
      <c r="F32" s="295" t="s">
        <v>6</v>
      </c>
    </row>
    <row r="33" spans="1:6" x14ac:dyDescent="0.45">
      <c r="A33" s="291">
        <f>A28+1</f>
        <v>19</v>
      </c>
      <c r="B33" s="334"/>
      <c r="C33" s="299"/>
      <c r="D33" s="300"/>
      <c r="E33" s="301"/>
      <c r="F33" s="295">
        <f>F28+1</f>
        <v>19</v>
      </c>
    </row>
    <row r="34" spans="1:6" x14ac:dyDescent="0.45">
      <c r="A34" s="291">
        <f>A33+1</f>
        <v>20</v>
      </c>
      <c r="B34" s="302" t="str">
        <f>B11</f>
        <v>Section 1 - Direct Maintenance Expense Cost Component</v>
      </c>
      <c r="C34" s="335">
        <f>C11/12</f>
        <v>0</v>
      </c>
      <c r="D34" s="336"/>
      <c r="E34" s="305" t="str">
        <f>"Line "&amp;A11&amp;" / "&amp;C50&amp;" Months"</f>
        <v>Line 1 / 12 Months</v>
      </c>
      <c r="F34" s="295">
        <f>F33+1</f>
        <v>20</v>
      </c>
    </row>
    <row r="35" spans="1:6" x14ac:dyDescent="0.45">
      <c r="A35" s="291">
        <f t="shared" ref="A35:A53" si="2">A34+1</f>
        <v>21</v>
      </c>
      <c r="B35" s="306"/>
      <c r="C35" s="337"/>
      <c r="D35" s="338"/>
      <c r="E35" s="339"/>
      <c r="F35" s="295">
        <f t="shared" ref="F35:F53" si="3">F34+1</f>
        <v>21</v>
      </c>
    </row>
    <row r="36" spans="1:6" ht="15.75" x14ac:dyDescent="0.5">
      <c r="A36" s="291">
        <f t="shared" si="2"/>
        <v>22</v>
      </c>
      <c r="B36" s="302" t="str">
        <f>B13</f>
        <v>Section 2 - Non-Direct Expense Cost Component</v>
      </c>
      <c r="C36" s="340">
        <f>C13/12</f>
        <v>68.882130139183687</v>
      </c>
      <c r="D36" s="28" t="s">
        <v>16</v>
      </c>
      <c r="E36" s="305" t="str">
        <f>"Line "&amp;A13&amp;" / "&amp;C50&amp;" Months"</f>
        <v>Line 3 / 12 Months</v>
      </c>
      <c r="F36" s="295">
        <f t="shared" si="3"/>
        <v>22</v>
      </c>
    </row>
    <row r="37" spans="1:6" x14ac:dyDescent="0.45">
      <c r="A37" s="291">
        <f t="shared" si="2"/>
        <v>23</v>
      </c>
      <c r="B37" s="306"/>
      <c r="C37" s="341"/>
      <c r="D37" s="342"/>
      <c r="E37" s="343"/>
      <c r="F37" s="295">
        <f t="shared" si="3"/>
        <v>23</v>
      </c>
    </row>
    <row r="38" spans="1:6" x14ac:dyDescent="0.45">
      <c r="A38" s="291">
        <f t="shared" si="2"/>
        <v>24</v>
      </c>
      <c r="B38" s="302" t="str">
        <f>B15</f>
        <v>Section 3 - Cost Component Containing Other Specific Expenses</v>
      </c>
      <c r="C38" s="694">
        <f>C15/12</f>
        <v>0.6412373034356319</v>
      </c>
      <c r="D38" s="345"/>
      <c r="E38" s="305" t="str">
        <f>"Line "&amp;A15&amp;" / "&amp;C50&amp;" Months"</f>
        <v>Line 5 / 12 Months</v>
      </c>
      <c r="F38" s="295">
        <f t="shared" si="3"/>
        <v>24</v>
      </c>
    </row>
    <row r="39" spans="1:6" x14ac:dyDescent="0.45">
      <c r="A39" s="291">
        <f t="shared" si="2"/>
        <v>25</v>
      </c>
      <c r="B39" s="318"/>
      <c r="C39" s="346"/>
      <c r="D39" s="342"/>
      <c r="E39" s="305"/>
      <c r="F39" s="295">
        <f t="shared" si="3"/>
        <v>25</v>
      </c>
    </row>
    <row r="40" spans="1:6" ht="15.75" x14ac:dyDescent="0.5">
      <c r="A40" s="291">
        <f t="shared" si="2"/>
        <v>26</v>
      </c>
      <c r="B40" s="315" t="s">
        <v>499</v>
      </c>
      <c r="C40" s="347">
        <f>C34+C36+C38</f>
        <v>69.523367442619318</v>
      </c>
      <c r="D40" s="28" t="s">
        <v>16</v>
      </c>
      <c r="E40" s="317" t="str">
        <f>"Sum Lines "&amp;A34&amp;", "&amp;A36&amp;", "&amp;A38</f>
        <v>Sum Lines 20, 22, 24</v>
      </c>
      <c r="F40" s="295">
        <f t="shared" si="3"/>
        <v>26</v>
      </c>
    </row>
    <row r="41" spans="1:6" x14ac:dyDescent="0.45">
      <c r="A41" s="291">
        <f t="shared" si="2"/>
        <v>27</v>
      </c>
      <c r="B41" s="334"/>
      <c r="C41" s="341"/>
      <c r="D41" s="342"/>
      <c r="E41" s="310"/>
      <c r="F41" s="295">
        <f t="shared" si="3"/>
        <v>27</v>
      </c>
    </row>
    <row r="42" spans="1:6" ht="15.75" x14ac:dyDescent="0.5">
      <c r="A42" s="291">
        <f t="shared" si="2"/>
        <v>28</v>
      </c>
      <c r="B42" s="302" t="str">
        <f>LEFT(B19,45)</f>
        <v>Section 4 - True-Up Adjustment Cost Component</v>
      </c>
      <c r="C42" s="340">
        <f>C19/12</f>
        <v>-3.7334067994984679</v>
      </c>
      <c r="D42" s="28" t="s">
        <v>16</v>
      </c>
      <c r="E42" s="305" t="str">
        <f>"Line "&amp;A19&amp;" / "&amp;C50&amp;" Months"</f>
        <v>Line 9 / 12 Months</v>
      </c>
      <c r="F42" s="295">
        <f t="shared" si="3"/>
        <v>28</v>
      </c>
    </row>
    <row r="43" spans="1:6" x14ac:dyDescent="0.45">
      <c r="A43" s="291">
        <f t="shared" si="2"/>
        <v>29</v>
      </c>
      <c r="B43" s="302"/>
      <c r="C43" s="341"/>
      <c r="D43" s="342"/>
      <c r="E43" s="348"/>
      <c r="F43" s="295">
        <f t="shared" si="3"/>
        <v>29</v>
      </c>
    </row>
    <row r="44" spans="1:6" x14ac:dyDescent="0.45">
      <c r="A44" s="291">
        <f t="shared" si="2"/>
        <v>30</v>
      </c>
      <c r="B44" s="302" t="str">
        <f>B21</f>
        <v>Section 5 - Interest True-Up Adjustment Cost Component</v>
      </c>
      <c r="C44" s="349">
        <f>C21/12</f>
        <v>0</v>
      </c>
      <c r="D44" s="345"/>
      <c r="E44" s="317" t="str">
        <f>"Line "&amp;A21&amp;" / "&amp;C50&amp;" Months"</f>
        <v>Line 11 / 12 Months</v>
      </c>
      <c r="F44" s="295">
        <f t="shared" si="3"/>
        <v>30</v>
      </c>
    </row>
    <row r="45" spans="1:6" x14ac:dyDescent="0.45">
      <c r="A45" s="291">
        <f t="shared" si="2"/>
        <v>31</v>
      </c>
      <c r="B45" s="318"/>
      <c r="C45" s="350"/>
      <c r="D45" s="33"/>
      <c r="E45" s="351"/>
      <c r="F45" s="295">
        <f t="shared" si="3"/>
        <v>31</v>
      </c>
    </row>
    <row r="46" spans="1:6" x14ac:dyDescent="0.45">
      <c r="A46" s="291">
        <f t="shared" si="2"/>
        <v>32</v>
      </c>
      <c r="B46" s="311" t="str">
        <f>B25</f>
        <v>Other Adjustments</v>
      </c>
      <c r="C46" s="694">
        <f>C25/12</f>
        <v>0</v>
      </c>
      <c r="D46" s="345"/>
      <c r="E46" s="317" t="str">
        <f>"Line "&amp;A25&amp;" / "&amp;C50&amp;" Months"</f>
        <v>Line 15 / 12 Months</v>
      </c>
      <c r="F46" s="295">
        <f t="shared" si="3"/>
        <v>32</v>
      </c>
    </row>
    <row r="47" spans="1:6" x14ac:dyDescent="0.45">
      <c r="A47" s="291">
        <f t="shared" si="2"/>
        <v>33</v>
      </c>
      <c r="B47" s="314"/>
      <c r="C47" s="350"/>
      <c r="D47" s="33"/>
      <c r="E47" s="351"/>
      <c r="F47" s="295">
        <f t="shared" si="3"/>
        <v>33</v>
      </c>
    </row>
    <row r="48" spans="1:6" ht="16.149999999999999" thickBot="1" x14ac:dyDescent="0.55000000000000004">
      <c r="A48" s="291">
        <f t="shared" si="2"/>
        <v>34</v>
      </c>
      <c r="B48" s="314" t="s">
        <v>286</v>
      </c>
      <c r="C48" s="352">
        <f>C40+C42+C44+C46</f>
        <v>65.78996064312085</v>
      </c>
      <c r="D48" s="28" t="s">
        <v>16</v>
      </c>
      <c r="E48" s="317" t="str">
        <f>"Sum Lines "&amp;A40&amp;", "&amp;A42&amp;", "&amp;A44&amp;", "&amp;A46</f>
        <v>Sum Lines 26, 28, 30, 32</v>
      </c>
      <c r="F48" s="295">
        <f t="shared" si="3"/>
        <v>34</v>
      </c>
    </row>
    <row r="49" spans="1:6" ht="15.75" thickTop="1" x14ac:dyDescent="0.45">
      <c r="A49" s="291">
        <f t="shared" si="2"/>
        <v>35</v>
      </c>
      <c r="B49" s="334"/>
      <c r="C49" s="353"/>
      <c r="D49" s="354"/>
      <c r="E49" s="355"/>
      <c r="F49" s="295">
        <f t="shared" si="3"/>
        <v>35</v>
      </c>
    </row>
    <row r="50" spans="1:6" x14ac:dyDescent="0.45">
      <c r="A50" s="291">
        <f t="shared" si="2"/>
        <v>36</v>
      </c>
      <c r="B50" s="306" t="s">
        <v>287</v>
      </c>
      <c r="C50" s="695">
        <v>12</v>
      </c>
      <c r="D50" s="357"/>
      <c r="E50" s="355"/>
      <c r="F50" s="295">
        <f t="shared" si="3"/>
        <v>36</v>
      </c>
    </row>
    <row r="51" spans="1:6" x14ac:dyDescent="0.45">
      <c r="A51" s="291">
        <f t="shared" si="2"/>
        <v>37</v>
      </c>
      <c r="B51" s="334"/>
      <c r="C51" s="353"/>
      <c r="D51" s="354"/>
      <c r="E51" s="358"/>
      <c r="F51" s="295">
        <f t="shared" si="3"/>
        <v>37</v>
      </c>
    </row>
    <row r="52" spans="1:6" ht="16.149999999999999" thickBot="1" x14ac:dyDescent="0.55000000000000004">
      <c r="A52" s="291">
        <f t="shared" si="2"/>
        <v>38</v>
      </c>
      <c r="B52" s="315" t="str">
        <f>B27</f>
        <v>Total Annual Costs</v>
      </c>
      <c r="C52" s="359">
        <f>C48*C50</f>
        <v>789.4795277174502</v>
      </c>
      <c r="D52" s="28" t="s">
        <v>16</v>
      </c>
      <c r="E52" s="317" t="str">
        <f>"Line "&amp;A48&amp;" x Line "&amp;A50</f>
        <v>Line 34 x Line 36</v>
      </c>
      <c r="F52" s="295">
        <f t="shared" si="3"/>
        <v>38</v>
      </c>
    </row>
    <row r="53" spans="1:6" ht="16.149999999999999" thickTop="1" thickBot="1" x14ac:dyDescent="0.5">
      <c r="A53" s="291">
        <f t="shared" si="2"/>
        <v>39</v>
      </c>
      <c r="B53" s="290"/>
      <c r="C53" s="360"/>
      <c r="D53" s="361"/>
      <c r="E53" s="362"/>
      <c r="F53" s="295">
        <f t="shared" si="3"/>
        <v>39</v>
      </c>
    </row>
    <row r="55" spans="1:6" ht="15.75" x14ac:dyDescent="0.5">
      <c r="A55" s="679" t="s">
        <v>16</v>
      </c>
      <c r="B55" s="25" t="s">
        <v>288</v>
      </c>
    </row>
  </sheetData>
  <mergeCells count="5">
    <mergeCell ref="B2:E2"/>
    <mergeCell ref="B3:E3"/>
    <mergeCell ref="B4:E4"/>
    <mergeCell ref="B5:E5"/>
    <mergeCell ref="B6:E6"/>
  </mergeCells>
  <printOptions horizontalCentered="1"/>
  <pageMargins left="0.25" right="0.25" top="0.5" bottom="0.5" header="0.35" footer="0.25"/>
  <pageSetup scale="67" orientation="portrait" r:id="rId1"/>
  <headerFooter scaleWithDoc="0" alignWithMargins="0">
    <oddHeader>&amp;C&amp;"Times New Roman,Bold"REVISED</oddHeader>
    <oddFooter>&amp;CPage 3&amp;R&amp;F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D66F-B29C-4CA8-8780-A2635AF8E741}">
  <sheetPr>
    <pageSetUpPr fitToPage="1"/>
  </sheetPr>
  <dimension ref="A1:I53"/>
  <sheetViews>
    <sheetView zoomScale="80" zoomScaleNormal="80" workbookViewId="0"/>
  </sheetViews>
  <sheetFormatPr defaultColWidth="8.86328125" defaultRowHeight="15.4" x14ac:dyDescent="0.45"/>
  <cols>
    <col min="1" max="1" width="5.1328125" style="45" customWidth="1"/>
    <col min="2" max="2" width="70.59765625" style="20" customWidth="1"/>
    <col min="3" max="3" width="16.59765625" style="20" customWidth="1"/>
    <col min="4" max="4" width="51.3984375" style="20" bestFit="1" customWidth="1"/>
    <col min="5" max="5" width="5.1328125" style="45" customWidth="1"/>
    <col min="6" max="16384" width="8.86328125" style="20"/>
  </cols>
  <sheetData>
    <row r="1" spans="1:7" x14ac:dyDescent="0.45">
      <c r="A1" s="287"/>
      <c r="B1" s="288"/>
      <c r="C1" s="288"/>
      <c r="D1" s="680"/>
      <c r="E1" s="287"/>
    </row>
    <row r="2" spans="1:7" x14ac:dyDescent="0.45">
      <c r="A2" s="287"/>
      <c r="B2" s="799" t="s">
        <v>24</v>
      </c>
      <c r="C2" s="799"/>
      <c r="D2" s="799"/>
      <c r="E2" s="288"/>
    </row>
    <row r="3" spans="1:7" x14ac:dyDescent="0.45">
      <c r="B3" s="799" t="s">
        <v>274</v>
      </c>
      <c r="C3" s="799"/>
      <c r="D3" s="799"/>
      <c r="E3" s="285"/>
    </row>
    <row r="4" spans="1:7" x14ac:dyDescent="0.45">
      <c r="B4" s="799" t="s">
        <v>275</v>
      </c>
      <c r="C4" s="799"/>
      <c r="D4" s="799"/>
      <c r="E4" s="285"/>
    </row>
    <row r="5" spans="1:7" x14ac:dyDescent="0.45">
      <c r="A5" s="287"/>
      <c r="B5" s="801" t="s">
        <v>528</v>
      </c>
      <c r="C5" s="801"/>
      <c r="D5" s="801"/>
      <c r="E5" s="287"/>
    </row>
    <row r="6" spans="1:7" x14ac:dyDescent="0.45">
      <c r="B6" s="800" t="s">
        <v>1</v>
      </c>
      <c r="C6" s="799"/>
      <c r="D6" s="799"/>
      <c r="E6" s="285"/>
    </row>
    <row r="7" spans="1:7" ht="15.75" thickBot="1" x14ac:dyDescent="0.5">
      <c r="A7" s="287"/>
      <c r="B7" s="288"/>
      <c r="C7" s="289"/>
      <c r="D7" s="289"/>
      <c r="E7" s="287"/>
    </row>
    <row r="8" spans="1:7" x14ac:dyDescent="0.45">
      <c r="A8" s="291" t="s">
        <v>2</v>
      </c>
      <c r="B8" s="292"/>
      <c r="C8" s="363"/>
      <c r="D8" s="364"/>
      <c r="E8" s="295" t="s">
        <v>2</v>
      </c>
    </row>
    <row r="9" spans="1:7" x14ac:dyDescent="0.45">
      <c r="A9" s="291" t="s">
        <v>6</v>
      </c>
      <c r="B9" s="296" t="s">
        <v>276</v>
      </c>
      <c r="C9" s="296" t="s">
        <v>4</v>
      </c>
      <c r="D9" s="365" t="s">
        <v>5</v>
      </c>
      <c r="E9" s="295" t="s">
        <v>6</v>
      </c>
    </row>
    <row r="10" spans="1:7" x14ac:dyDescent="0.45">
      <c r="A10" s="291"/>
      <c r="B10" s="298"/>
      <c r="C10" s="366"/>
      <c r="D10" s="367"/>
      <c r="E10" s="295"/>
    </row>
    <row r="11" spans="1:7" x14ac:dyDescent="0.45">
      <c r="A11" s="291">
        <v>1</v>
      </c>
      <c r="B11" s="302" t="s">
        <v>277</v>
      </c>
      <c r="C11" s="368">
        <v>0</v>
      </c>
      <c r="D11" s="369" t="s">
        <v>529</v>
      </c>
      <c r="E11" s="295">
        <f>A11</f>
        <v>1</v>
      </c>
      <c r="G11" s="23"/>
    </row>
    <row r="12" spans="1:7" x14ac:dyDescent="0.45">
      <c r="A12" s="291">
        <f>A11+1</f>
        <v>2</v>
      </c>
      <c r="B12" s="306"/>
      <c r="C12" s="370"/>
      <c r="D12" s="371"/>
      <c r="E12" s="295">
        <f>E11+1</f>
        <v>2</v>
      </c>
    </row>
    <row r="13" spans="1:7" x14ac:dyDescent="0.45">
      <c r="A13" s="291">
        <f t="shared" ref="A13:A28" si="0">A12+1</f>
        <v>3</v>
      </c>
      <c r="B13" s="302" t="s">
        <v>278</v>
      </c>
      <c r="C13" s="372">
        <v>839.75541697135111</v>
      </c>
      <c r="D13" s="369" t="s">
        <v>530</v>
      </c>
      <c r="E13" s="295">
        <f t="shared" ref="E13:E28" si="1">E12+1</f>
        <v>3</v>
      </c>
      <c r="G13" s="32"/>
    </row>
    <row r="14" spans="1:7" x14ac:dyDescent="0.45">
      <c r="A14" s="291">
        <f t="shared" si="0"/>
        <v>4</v>
      </c>
      <c r="B14" s="306"/>
      <c r="C14" s="370"/>
      <c r="D14" s="373"/>
      <c r="E14" s="295">
        <f t="shared" si="1"/>
        <v>4</v>
      </c>
    </row>
    <row r="15" spans="1:7" x14ac:dyDescent="0.45">
      <c r="A15" s="291">
        <f t="shared" si="0"/>
        <v>5</v>
      </c>
      <c r="B15" s="311" t="s">
        <v>279</v>
      </c>
      <c r="C15" s="312">
        <v>7.6948832581114317</v>
      </c>
      <c r="D15" s="305" t="s">
        <v>531</v>
      </c>
      <c r="E15" s="295">
        <f t="shared" si="1"/>
        <v>5</v>
      </c>
      <c r="G15" s="32"/>
    </row>
    <row r="16" spans="1:7" x14ac:dyDescent="0.45">
      <c r="A16" s="291">
        <f t="shared" si="0"/>
        <v>6</v>
      </c>
      <c r="B16" s="314"/>
      <c r="C16" s="175"/>
      <c r="D16" s="305"/>
      <c r="E16" s="295">
        <f t="shared" si="1"/>
        <v>6</v>
      </c>
      <c r="G16" s="32"/>
    </row>
    <row r="17" spans="1:9" x14ac:dyDescent="0.45">
      <c r="A17" s="291">
        <f t="shared" si="0"/>
        <v>7</v>
      </c>
      <c r="B17" s="315" t="s">
        <v>498</v>
      </c>
      <c r="C17" s="374">
        <f>C11+C13+C15</f>
        <v>847.45030022946253</v>
      </c>
      <c r="D17" s="317" t="s">
        <v>532</v>
      </c>
      <c r="E17" s="295">
        <f t="shared" si="1"/>
        <v>7</v>
      </c>
      <c r="G17" s="32"/>
    </row>
    <row r="18" spans="1:9" x14ac:dyDescent="0.45">
      <c r="A18" s="291">
        <f t="shared" si="0"/>
        <v>8</v>
      </c>
      <c r="B18" s="318"/>
      <c r="C18" s="370"/>
      <c r="D18" s="375"/>
      <c r="E18" s="295">
        <f t="shared" si="1"/>
        <v>8</v>
      </c>
    </row>
    <row r="19" spans="1:9" x14ac:dyDescent="0.45">
      <c r="A19" s="291">
        <f t="shared" si="0"/>
        <v>9</v>
      </c>
      <c r="B19" s="302" t="s">
        <v>280</v>
      </c>
      <c r="C19" s="376">
        <v>-36.99430750894976</v>
      </c>
      <c r="D19" s="305" t="s">
        <v>533</v>
      </c>
      <c r="E19" s="295">
        <f t="shared" si="1"/>
        <v>9</v>
      </c>
    </row>
    <row r="20" spans="1:9" x14ac:dyDescent="0.45">
      <c r="A20" s="291">
        <f t="shared" si="0"/>
        <v>10</v>
      </c>
      <c r="B20" s="302"/>
      <c r="C20" s="370"/>
      <c r="D20" s="377"/>
      <c r="E20" s="295">
        <f t="shared" si="1"/>
        <v>10</v>
      </c>
    </row>
    <row r="21" spans="1:9" x14ac:dyDescent="0.45">
      <c r="A21" s="291">
        <f t="shared" si="0"/>
        <v>11</v>
      </c>
      <c r="B21" s="302" t="s">
        <v>281</v>
      </c>
      <c r="C21" s="312">
        <v>0</v>
      </c>
      <c r="D21" s="317" t="s">
        <v>534</v>
      </c>
      <c r="E21" s="295">
        <f t="shared" si="1"/>
        <v>11</v>
      </c>
    </row>
    <row r="22" spans="1:9" x14ac:dyDescent="0.45">
      <c r="A22" s="291">
        <f t="shared" si="0"/>
        <v>12</v>
      </c>
      <c r="B22" s="314"/>
      <c r="C22" s="321"/>
      <c r="D22" s="378"/>
      <c r="E22" s="295">
        <f t="shared" si="1"/>
        <v>12</v>
      </c>
    </row>
    <row r="23" spans="1:9" x14ac:dyDescent="0.45">
      <c r="A23" s="291">
        <f t="shared" si="0"/>
        <v>13</v>
      </c>
      <c r="B23" s="314" t="s">
        <v>282</v>
      </c>
      <c r="C23" s="101">
        <f>C17+C19+C21</f>
        <v>810.45599272051277</v>
      </c>
      <c r="D23" s="317" t="s">
        <v>535</v>
      </c>
      <c r="E23" s="295">
        <f t="shared" si="1"/>
        <v>13</v>
      </c>
      <c r="G23" s="32"/>
    </row>
    <row r="24" spans="1:9" x14ac:dyDescent="0.45">
      <c r="A24" s="291">
        <f t="shared" si="0"/>
        <v>14</v>
      </c>
      <c r="B24" s="323"/>
      <c r="C24" s="104"/>
      <c r="D24" s="317"/>
      <c r="E24" s="295">
        <f t="shared" si="1"/>
        <v>14</v>
      </c>
      <c r="G24" s="32"/>
    </row>
    <row r="25" spans="1:9" x14ac:dyDescent="0.45">
      <c r="A25" s="291">
        <f t="shared" si="0"/>
        <v>15</v>
      </c>
      <c r="B25" s="311" t="s">
        <v>283</v>
      </c>
      <c r="C25" s="324">
        <v>0</v>
      </c>
      <c r="D25" s="317" t="s">
        <v>23</v>
      </c>
      <c r="E25" s="295">
        <f t="shared" si="1"/>
        <v>15</v>
      </c>
      <c r="G25" s="32"/>
    </row>
    <row r="26" spans="1:9" x14ac:dyDescent="0.45">
      <c r="A26" s="291">
        <f t="shared" si="0"/>
        <v>16</v>
      </c>
      <c r="B26" s="289"/>
      <c r="C26" s="325"/>
      <c r="D26" s="378"/>
      <c r="E26" s="295">
        <f t="shared" si="1"/>
        <v>16</v>
      </c>
    </row>
    <row r="27" spans="1:9" ht="15.75" thickBot="1" x14ac:dyDescent="0.5">
      <c r="A27" s="291">
        <f t="shared" si="0"/>
        <v>17</v>
      </c>
      <c r="B27" s="315" t="s">
        <v>284</v>
      </c>
      <c r="C27" s="327">
        <f>C23+C25</f>
        <v>810.45599272051277</v>
      </c>
      <c r="D27" s="378" t="s">
        <v>536</v>
      </c>
      <c r="E27" s="295">
        <f t="shared" si="1"/>
        <v>17</v>
      </c>
      <c r="H27" s="23"/>
      <c r="I27" s="328"/>
    </row>
    <row r="28" spans="1:9" ht="16.149999999999999" thickTop="1" thickBot="1" x14ac:dyDescent="0.5">
      <c r="A28" s="291">
        <f t="shared" si="0"/>
        <v>18</v>
      </c>
      <c r="B28" s="329"/>
      <c r="C28" s="329"/>
      <c r="D28" s="379"/>
      <c r="E28" s="295">
        <f t="shared" si="1"/>
        <v>18</v>
      </c>
    </row>
    <row r="30" spans="1:9" ht="15.75" thickBot="1" x14ac:dyDescent="0.5">
      <c r="A30" s="287"/>
      <c r="B30" s="331"/>
      <c r="C30" s="332"/>
      <c r="D30" s="332"/>
      <c r="E30" s="287"/>
    </row>
    <row r="31" spans="1:9" x14ac:dyDescent="0.45">
      <c r="A31" s="291" t="s">
        <v>2</v>
      </c>
      <c r="B31" s="333"/>
      <c r="C31" s="333"/>
      <c r="D31" s="371"/>
      <c r="E31" s="295" t="s">
        <v>2</v>
      </c>
    </row>
    <row r="32" spans="1:9" x14ac:dyDescent="0.45">
      <c r="A32" s="291" t="s">
        <v>6</v>
      </c>
      <c r="B32" s="296" t="s">
        <v>285</v>
      </c>
      <c r="C32" s="296" t="str">
        <f>C9</f>
        <v>Amounts</v>
      </c>
      <c r="D32" s="365" t="str">
        <f>D9</f>
        <v>Reference</v>
      </c>
      <c r="E32" s="295" t="s">
        <v>6</v>
      </c>
    </row>
    <row r="33" spans="1:5" x14ac:dyDescent="0.45">
      <c r="A33" s="291">
        <f>A28+1</f>
        <v>19</v>
      </c>
      <c r="B33" s="334"/>
      <c r="C33" s="366"/>
      <c r="D33" s="367"/>
      <c r="E33" s="295">
        <f>E28+1</f>
        <v>19</v>
      </c>
    </row>
    <row r="34" spans="1:5" x14ac:dyDescent="0.45">
      <c r="A34" s="291">
        <f>A33+1</f>
        <v>20</v>
      </c>
      <c r="B34" s="302" t="str">
        <f>B11</f>
        <v>Section 1 - Direct Maintenance Expense Cost Component</v>
      </c>
      <c r="C34" s="380">
        <f>C11/12</f>
        <v>0</v>
      </c>
      <c r="D34" s="369" t="str">
        <f>"Line "&amp;A11&amp;" / "&amp;C50&amp;" Months"</f>
        <v>Line 1 / 12 Months</v>
      </c>
      <c r="E34" s="295">
        <f>E33+1</f>
        <v>20</v>
      </c>
    </row>
    <row r="35" spans="1:5" x14ac:dyDescent="0.45">
      <c r="A35" s="291">
        <f t="shared" ref="A35:A53" si="2">A34+1</f>
        <v>21</v>
      </c>
      <c r="B35" s="306"/>
      <c r="C35" s="381"/>
      <c r="D35" s="382"/>
      <c r="E35" s="295">
        <f t="shared" ref="E35:E53" si="3">E34+1</f>
        <v>21</v>
      </c>
    </row>
    <row r="36" spans="1:5" x14ac:dyDescent="0.45">
      <c r="A36" s="291">
        <f t="shared" si="2"/>
        <v>22</v>
      </c>
      <c r="B36" s="302" t="str">
        <f>B13</f>
        <v>Section 2 - Non-Direct Expense Cost Component</v>
      </c>
      <c r="C36" s="383">
        <f>C13/12</f>
        <v>69.979618080945926</v>
      </c>
      <c r="D36" s="369" t="str">
        <f>"Line "&amp;A13&amp;" / "&amp;C50&amp;" Months"</f>
        <v>Line 3 / 12 Months</v>
      </c>
      <c r="E36" s="295">
        <f t="shared" si="3"/>
        <v>22</v>
      </c>
    </row>
    <row r="37" spans="1:5" x14ac:dyDescent="0.45">
      <c r="A37" s="291">
        <f t="shared" si="2"/>
        <v>23</v>
      </c>
      <c r="B37" s="306"/>
      <c r="C37" s="384"/>
      <c r="D37" s="385"/>
      <c r="E37" s="295">
        <f t="shared" si="3"/>
        <v>23</v>
      </c>
    </row>
    <row r="38" spans="1:5" x14ac:dyDescent="0.45">
      <c r="A38" s="291">
        <f t="shared" si="2"/>
        <v>24</v>
      </c>
      <c r="B38" s="302" t="str">
        <f>B15</f>
        <v>Section 3 - Cost Component Containing Other Specific Expenses</v>
      </c>
      <c r="C38" s="344">
        <f>C15/12</f>
        <v>0.64124027150928598</v>
      </c>
      <c r="D38" s="369" t="str">
        <f>"Line "&amp;A15&amp;" / "&amp;C50&amp;" Months"</f>
        <v>Line 5 / 12 Months</v>
      </c>
      <c r="E38" s="295">
        <f t="shared" si="3"/>
        <v>24</v>
      </c>
    </row>
    <row r="39" spans="1:5" x14ac:dyDescent="0.45">
      <c r="A39" s="291">
        <f t="shared" si="2"/>
        <v>25</v>
      </c>
      <c r="B39" s="318"/>
      <c r="C39" s="386"/>
      <c r="D39" s="369"/>
      <c r="E39" s="295">
        <f t="shared" si="3"/>
        <v>25</v>
      </c>
    </row>
    <row r="40" spans="1:5" x14ac:dyDescent="0.45">
      <c r="A40" s="291">
        <f t="shared" si="2"/>
        <v>26</v>
      </c>
      <c r="B40" s="315" t="s">
        <v>499</v>
      </c>
      <c r="C40" s="387">
        <f>C34+C36+C38</f>
        <v>70.620858352455215</v>
      </c>
      <c r="D40" s="317" t="str">
        <f>"Sum Lines "&amp;A34&amp;", "&amp;A36&amp;", "&amp;A38</f>
        <v>Sum Lines 20, 22, 24</v>
      </c>
      <c r="E40" s="295">
        <f t="shared" si="3"/>
        <v>26</v>
      </c>
    </row>
    <row r="41" spans="1:5" x14ac:dyDescent="0.45">
      <c r="A41" s="291">
        <f t="shared" si="2"/>
        <v>27</v>
      </c>
      <c r="B41" s="334"/>
      <c r="C41" s="384"/>
      <c r="D41" s="373"/>
      <c r="E41" s="295">
        <f t="shared" si="3"/>
        <v>27</v>
      </c>
    </row>
    <row r="42" spans="1:5" x14ac:dyDescent="0.45">
      <c r="A42" s="291">
        <f t="shared" si="2"/>
        <v>28</v>
      </c>
      <c r="B42" s="302" t="str">
        <f>LEFT(B19,45)</f>
        <v>Section 4 - True-Up Adjustment Cost Component</v>
      </c>
      <c r="C42" s="383">
        <f>C19/12</f>
        <v>-3.0828589590791466</v>
      </c>
      <c r="D42" s="369" t="str">
        <f>"Line "&amp;A19&amp;" / "&amp;C50&amp;" Months"</f>
        <v>Line 9 / 12 Months</v>
      </c>
      <c r="E42" s="295">
        <f t="shared" si="3"/>
        <v>28</v>
      </c>
    </row>
    <row r="43" spans="1:5" x14ac:dyDescent="0.45">
      <c r="A43" s="291">
        <f t="shared" si="2"/>
        <v>29</v>
      </c>
      <c r="B43" s="302"/>
      <c r="C43" s="384"/>
      <c r="D43" s="388"/>
      <c r="E43" s="295">
        <f t="shared" si="3"/>
        <v>29</v>
      </c>
    </row>
    <row r="44" spans="1:5" x14ac:dyDescent="0.45">
      <c r="A44" s="291">
        <f t="shared" si="2"/>
        <v>30</v>
      </c>
      <c r="B44" s="302" t="str">
        <f>B21</f>
        <v>Section 5 - Interest True-Up Adjustment Cost Component</v>
      </c>
      <c r="C44" s="383">
        <f>C21/12</f>
        <v>0</v>
      </c>
      <c r="D44" s="378" t="str">
        <f>"Line "&amp;A21&amp;" / "&amp;C50&amp;" Months"</f>
        <v>Line 11 / 12 Months</v>
      </c>
      <c r="E44" s="295">
        <f t="shared" si="3"/>
        <v>30</v>
      </c>
    </row>
    <row r="45" spans="1:5" x14ac:dyDescent="0.45">
      <c r="A45" s="291">
        <f t="shared" si="2"/>
        <v>31</v>
      </c>
      <c r="B45" s="318"/>
      <c r="C45" s="350"/>
      <c r="D45" s="389"/>
      <c r="E45" s="295">
        <f t="shared" si="3"/>
        <v>31</v>
      </c>
    </row>
    <row r="46" spans="1:5" x14ac:dyDescent="0.45">
      <c r="A46" s="291">
        <f t="shared" si="2"/>
        <v>32</v>
      </c>
      <c r="B46" s="311" t="str">
        <f>B25</f>
        <v>Other Adjustments</v>
      </c>
      <c r="C46" s="344">
        <f>C25/12</f>
        <v>0</v>
      </c>
      <c r="D46" s="378" t="str">
        <f>"Line "&amp;A25&amp;" / "&amp;C50&amp;" Months"</f>
        <v>Line 15 / 12 Months</v>
      </c>
      <c r="E46" s="295">
        <f t="shared" si="3"/>
        <v>32</v>
      </c>
    </row>
    <row r="47" spans="1:5" x14ac:dyDescent="0.45">
      <c r="A47" s="291">
        <f t="shared" si="2"/>
        <v>33</v>
      </c>
      <c r="B47" s="314"/>
      <c r="C47" s="350"/>
      <c r="D47" s="351"/>
      <c r="E47" s="295">
        <f t="shared" si="3"/>
        <v>33</v>
      </c>
    </row>
    <row r="48" spans="1:5" ht="15.75" thickBot="1" x14ac:dyDescent="0.5">
      <c r="A48" s="291">
        <f t="shared" si="2"/>
        <v>34</v>
      </c>
      <c r="B48" s="314" t="s">
        <v>286</v>
      </c>
      <c r="C48" s="352">
        <f>C40+C42+C44+C46</f>
        <v>67.537999393376069</v>
      </c>
      <c r="D48" s="317" t="str">
        <f>"Sum Lines "&amp;A40&amp;", "&amp;A42&amp;", "&amp;A44&amp;", "&amp;A46</f>
        <v>Sum Lines 26, 28, 30, 32</v>
      </c>
      <c r="E48" s="295">
        <f t="shared" si="3"/>
        <v>34</v>
      </c>
    </row>
    <row r="49" spans="1:5" ht="15.75" thickTop="1" x14ac:dyDescent="0.45">
      <c r="A49" s="291">
        <f t="shared" si="2"/>
        <v>35</v>
      </c>
      <c r="B49" s="334"/>
      <c r="C49" s="353"/>
      <c r="D49" s="390"/>
      <c r="E49" s="295">
        <f t="shared" si="3"/>
        <v>35</v>
      </c>
    </row>
    <row r="50" spans="1:5" x14ac:dyDescent="0.45">
      <c r="A50" s="291">
        <f t="shared" si="2"/>
        <v>36</v>
      </c>
      <c r="B50" s="306" t="s">
        <v>287</v>
      </c>
      <c r="C50" s="356">
        <v>12</v>
      </c>
      <c r="D50" s="390"/>
      <c r="E50" s="295">
        <f t="shared" si="3"/>
        <v>36</v>
      </c>
    </row>
    <row r="51" spans="1:5" x14ac:dyDescent="0.45">
      <c r="A51" s="291">
        <f t="shared" si="2"/>
        <v>37</v>
      </c>
      <c r="B51" s="334"/>
      <c r="C51" s="353"/>
      <c r="D51" s="391"/>
      <c r="E51" s="295">
        <f t="shared" si="3"/>
        <v>37</v>
      </c>
    </row>
    <row r="52" spans="1:5" ht="15.75" thickBot="1" x14ac:dyDescent="0.5">
      <c r="A52" s="291">
        <f t="shared" si="2"/>
        <v>38</v>
      </c>
      <c r="B52" s="315" t="str">
        <f>B27</f>
        <v>Total Annual Costs</v>
      </c>
      <c r="C52" s="392">
        <f>C48*C50</f>
        <v>810.45599272051277</v>
      </c>
      <c r="D52" s="378" t="str">
        <f>"Line "&amp;A48&amp;" x Line "&amp;A50</f>
        <v>Line 34 x Line 36</v>
      </c>
      <c r="E52" s="295">
        <f t="shared" si="3"/>
        <v>38</v>
      </c>
    </row>
    <row r="53" spans="1:5" ht="16.149999999999999" thickTop="1" thickBot="1" x14ac:dyDescent="0.5">
      <c r="A53" s="291">
        <f t="shared" si="2"/>
        <v>39</v>
      </c>
      <c r="B53" s="290"/>
      <c r="C53" s="360"/>
      <c r="D53" s="393"/>
      <c r="E53" s="295">
        <f t="shared" si="3"/>
        <v>39</v>
      </c>
    </row>
  </sheetData>
  <mergeCells count="5">
    <mergeCell ref="B2:D2"/>
    <mergeCell ref="B3:D3"/>
    <mergeCell ref="B4:D4"/>
    <mergeCell ref="B5:D5"/>
    <mergeCell ref="B6:D6"/>
  </mergeCells>
  <printOptions horizontalCentered="1"/>
  <pageMargins left="0.25" right="0.25" top="0.5" bottom="0.5" header="0.35" footer="0.25"/>
  <pageSetup scale="68" orientation="portrait" r:id="rId1"/>
  <headerFooter scaleWithDoc="0" alignWithMargins="0">
    <oddHeader>&amp;C&amp;"Times New Roman,Bold"AS FILED</oddHeader>
    <oddFooter>&amp;CPage 4&amp;R&amp;F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59"/>
  <sheetViews>
    <sheetView zoomScale="80" zoomScaleNormal="80" workbookViewId="0"/>
  </sheetViews>
  <sheetFormatPr defaultColWidth="8.86328125" defaultRowHeight="15.4" x14ac:dyDescent="0.45"/>
  <cols>
    <col min="1" max="1" width="5.1328125" style="46" customWidth="1"/>
    <col min="2" max="2" width="93.1328125" style="20" bestFit="1" customWidth="1"/>
    <col min="3" max="3" width="10.3984375" style="20" customWidth="1"/>
    <col min="4" max="4" width="1.59765625" style="20" customWidth="1"/>
    <col min="5" max="5" width="16.86328125" style="20" customWidth="1"/>
    <col min="6" max="6" width="1.59765625" style="20" customWidth="1"/>
    <col min="7" max="7" width="43.3984375" style="20" customWidth="1"/>
    <col min="8" max="8" width="5.1328125" style="45" customWidth="1"/>
    <col min="9" max="9" width="8.86328125" style="20"/>
    <col min="10" max="10" width="9.86328125" style="20" bestFit="1" customWidth="1"/>
    <col min="11" max="16384" width="8.86328125" style="20"/>
  </cols>
  <sheetData>
    <row r="1" spans="1:8" x14ac:dyDescent="0.45">
      <c r="A1" s="442"/>
      <c r="B1" s="443"/>
      <c r="C1" s="443"/>
      <c r="D1" s="443"/>
      <c r="E1" s="444"/>
      <c r="F1" s="444"/>
      <c r="G1" s="680"/>
      <c r="H1" s="287"/>
    </row>
    <row r="2" spans="1:8" x14ac:dyDescent="0.45">
      <c r="A2" s="442"/>
      <c r="B2" s="804" t="s">
        <v>24</v>
      </c>
      <c r="C2" s="804"/>
      <c r="D2" s="804"/>
      <c r="E2" s="804"/>
      <c r="F2" s="804"/>
      <c r="G2" s="804"/>
      <c r="H2" s="287"/>
    </row>
    <row r="3" spans="1:8" x14ac:dyDescent="0.45">
      <c r="B3" s="804" t="s">
        <v>274</v>
      </c>
      <c r="C3" s="804"/>
      <c r="D3" s="804"/>
      <c r="E3" s="804"/>
      <c r="F3" s="804"/>
      <c r="G3" s="804"/>
      <c r="H3" s="442"/>
    </row>
    <row r="4" spans="1:8" x14ac:dyDescent="0.45">
      <c r="B4" s="804" t="s">
        <v>290</v>
      </c>
      <c r="C4" s="804"/>
      <c r="D4" s="804"/>
      <c r="E4" s="804"/>
      <c r="F4" s="804"/>
      <c r="G4" s="804"/>
      <c r="H4" s="442"/>
    </row>
    <row r="5" spans="1:8" x14ac:dyDescent="0.45">
      <c r="B5" s="802" t="s">
        <v>537</v>
      </c>
      <c r="C5" s="802"/>
      <c r="D5" s="802"/>
      <c r="E5" s="802"/>
      <c r="F5" s="802"/>
      <c r="G5" s="802"/>
      <c r="H5" s="442"/>
    </row>
    <row r="6" spans="1:8" x14ac:dyDescent="0.45">
      <c r="B6" s="803" t="s">
        <v>1</v>
      </c>
      <c r="C6" s="803"/>
      <c r="D6" s="803"/>
      <c r="E6" s="803"/>
      <c r="F6" s="803"/>
      <c r="G6" s="803"/>
      <c r="H6" s="445"/>
    </row>
    <row r="7" spans="1:8" x14ac:dyDescent="0.45">
      <c r="A7" s="446"/>
      <c r="B7" s="683"/>
      <c r="C7" s="683"/>
      <c r="D7" s="683"/>
      <c r="E7" s="683"/>
      <c r="F7" s="683"/>
      <c r="G7" s="444"/>
      <c r="H7" s="287"/>
    </row>
    <row r="8" spans="1:8" x14ac:dyDescent="0.45">
      <c r="A8" s="447" t="s">
        <v>2</v>
      </c>
      <c r="B8" s="443"/>
      <c r="C8" s="443"/>
      <c r="D8" s="443"/>
      <c r="E8" s="683"/>
      <c r="F8" s="683"/>
      <c r="G8" s="443"/>
      <c r="H8" s="447" t="s">
        <v>2</v>
      </c>
    </row>
    <row r="9" spans="1:8" x14ac:dyDescent="0.45">
      <c r="A9" s="447" t="s">
        <v>6</v>
      </c>
      <c r="B9" s="443"/>
      <c r="C9" s="443"/>
      <c r="D9" s="443"/>
      <c r="E9" s="448" t="s">
        <v>4</v>
      </c>
      <c r="F9" s="449"/>
      <c r="G9" s="448" t="s">
        <v>5</v>
      </c>
      <c r="H9" s="447" t="s">
        <v>6</v>
      </c>
    </row>
    <row r="10" spans="1:8" x14ac:dyDescent="0.45">
      <c r="A10" s="447"/>
      <c r="B10" s="443"/>
      <c r="C10" s="443"/>
      <c r="D10" s="443"/>
      <c r="E10" s="683"/>
      <c r="F10" s="449"/>
      <c r="G10" s="683"/>
      <c r="H10" s="447"/>
    </row>
    <row r="11" spans="1:8" x14ac:dyDescent="0.45">
      <c r="A11" s="447">
        <v>1</v>
      </c>
      <c r="B11" s="450" t="s">
        <v>291</v>
      </c>
      <c r="C11" s="450"/>
      <c r="D11" s="450"/>
      <c r="E11" s="444"/>
      <c r="F11" s="444"/>
      <c r="G11" s="683"/>
      <c r="H11" s="447">
        <f>A11</f>
        <v>1</v>
      </c>
    </row>
    <row r="12" spans="1:8" ht="15.75" x14ac:dyDescent="0.5">
      <c r="A12" s="447">
        <f>A11+1</f>
        <v>2</v>
      </c>
      <c r="B12" s="451" t="s">
        <v>292</v>
      </c>
      <c r="C12" s="452"/>
      <c r="D12" s="452"/>
      <c r="E12" s="453">
        <f>E54</f>
        <v>6.7216297187470686E-3</v>
      </c>
      <c r="F12" s="28" t="s">
        <v>16</v>
      </c>
      <c r="G12" s="454" t="str">
        <f>"Page 2; Line "&amp;A54</f>
        <v>Page 2; Line 6</v>
      </c>
      <c r="H12" s="447">
        <f>H11+1</f>
        <v>2</v>
      </c>
    </row>
    <row r="13" spans="1:8" x14ac:dyDescent="0.45">
      <c r="A13" s="447">
        <f t="shared" ref="A13:A35" si="0">A12+1</f>
        <v>3</v>
      </c>
      <c r="B13" s="443"/>
      <c r="C13" s="455"/>
      <c r="D13" s="455"/>
      <c r="E13" s="456"/>
      <c r="F13" s="449"/>
      <c r="G13" s="454"/>
      <c r="H13" s="447">
        <f t="shared" ref="H13:H35" si="1">H12+1</f>
        <v>3</v>
      </c>
    </row>
    <row r="14" spans="1:8" x14ac:dyDescent="0.45">
      <c r="A14" s="447">
        <f t="shared" si="0"/>
        <v>4</v>
      </c>
      <c r="B14" s="451" t="s">
        <v>17</v>
      </c>
      <c r="C14" s="452"/>
      <c r="D14" s="452"/>
      <c r="E14" s="457">
        <f>E59</f>
        <v>7.6382465671437612E-3</v>
      </c>
      <c r="F14" s="458"/>
      <c r="G14" s="454" t="str">
        <f>"Page 2; Line "&amp;A59</f>
        <v>Page 2; Line 11</v>
      </c>
      <c r="H14" s="447">
        <f t="shared" si="1"/>
        <v>4</v>
      </c>
    </row>
    <row r="15" spans="1:8" x14ac:dyDescent="0.45">
      <c r="A15" s="447">
        <f t="shared" si="0"/>
        <v>5</v>
      </c>
      <c r="B15" s="444"/>
      <c r="C15" s="446"/>
      <c r="D15" s="446"/>
      <c r="E15" s="459"/>
      <c r="F15" s="460"/>
      <c r="G15" s="454"/>
      <c r="H15" s="447">
        <f t="shared" si="1"/>
        <v>5</v>
      </c>
    </row>
    <row r="16" spans="1:8" x14ac:dyDescent="0.45">
      <c r="A16" s="447">
        <f t="shared" si="0"/>
        <v>6</v>
      </c>
      <c r="B16" s="444" t="s">
        <v>293</v>
      </c>
      <c r="C16" s="446"/>
      <c r="D16" s="446"/>
      <c r="E16" s="461">
        <f>E64</f>
        <v>9.8516581304337672E-3</v>
      </c>
      <c r="F16" s="460"/>
      <c r="G16" s="454" t="str">
        <f>"Page 2; Line "&amp;A64</f>
        <v>Page 2; Line 16</v>
      </c>
      <c r="H16" s="447">
        <f t="shared" si="1"/>
        <v>6</v>
      </c>
    </row>
    <row r="17" spans="1:8" x14ac:dyDescent="0.45">
      <c r="A17" s="447">
        <f t="shared" si="0"/>
        <v>7</v>
      </c>
      <c r="B17" s="444"/>
      <c r="C17" s="446"/>
      <c r="D17" s="446"/>
      <c r="E17" s="459"/>
      <c r="F17" s="460"/>
      <c r="G17" s="454"/>
      <c r="H17" s="447">
        <f t="shared" si="1"/>
        <v>7</v>
      </c>
    </row>
    <row r="18" spans="1:8" x14ac:dyDescent="0.45">
      <c r="A18" s="447">
        <f t="shared" si="0"/>
        <v>8</v>
      </c>
      <c r="B18" s="451" t="s">
        <v>294</v>
      </c>
      <c r="C18" s="452"/>
      <c r="D18" s="452"/>
      <c r="E18" s="457">
        <f>E69</f>
        <v>2.659695757031051E-4</v>
      </c>
      <c r="F18" s="458"/>
      <c r="G18" s="454" t="str">
        <f>"Page 2; Line "&amp;A69</f>
        <v>Page 2; Line 21</v>
      </c>
      <c r="H18" s="447">
        <f t="shared" si="1"/>
        <v>8</v>
      </c>
    </row>
    <row r="19" spans="1:8" x14ac:dyDescent="0.45">
      <c r="A19" s="447">
        <f t="shared" si="0"/>
        <v>9</v>
      </c>
      <c r="B19" s="443"/>
      <c r="C19" s="455"/>
      <c r="D19" s="455"/>
      <c r="E19" s="456"/>
      <c r="F19" s="449"/>
      <c r="G19" s="454"/>
      <c r="H19" s="447">
        <f t="shared" si="1"/>
        <v>9</v>
      </c>
    </row>
    <row r="20" spans="1:8" x14ac:dyDescent="0.45">
      <c r="A20" s="447">
        <f t="shared" si="0"/>
        <v>10</v>
      </c>
      <c r="B20" s="451" t="s">
        <v>295</v>
      </c>
      <c r="C20" s="455"/>
      <c r="D20" s="455"/>
      <c r="E20" s="457">
        <f>E82</f>
        <v>1.7546329239940177E-3</v>
      </c>
      <c r="F20" s="449"/>
      <c r="G20" s="454" t="str">
        <f>"Page 2; Line "&amp;A82</f>
        <v>Page 2; Line 34</v>
      </c>
      <c r="H20" s="447">
        <f t="shared" si="1"/>
        <v>10</v>
      </c>
    </row>
    <row r="21" spans="1:8" x14ac:dyDescent="0.45">
      <c r="A21" s="447">
        <f t="shared" si="0"/>
        <v>11</v>
      </c>
      <c r="B21" s="443"/>
      <c r="C21" s="455"/>
      <c r="D21" s="455"/>
      <c r="E21" s="456"/>
      <c r="F21" s="449"/>
      <c r="G21" s="454"/>
      <c r="H21" s="447">
        <f t="shared" si="1"/>
        <v>11</v>
      </c>
    </row>
    <row r="22" spans="1:8" x14ac:dyDescent="0.45">
      <c r="A22" s="447">
        <f t="shared" si="0"/>
        <v>12</v>
      </c>
      <c r="B22" s="451" t="s">
        <v>296</v>
      </c>
      <c r="C22" s="452"/>
      <c r="D22" s="452"/>
      <c r="E22" s="457">
        <f>E99</f>
        <v>4.0707806676653167E-3</v>
      </c>
      <c r="F22" s="458"/>
      <c r="G22" s="454" t="str">
        <f>"Page 2; Line "&amp;A99</f>
        <v>Page 2; Line 51</v>
      </c>
      <c r="H22" s="447">
        <f t="shared" si="1"/>
        <v>12</v>
      </c>
    </row>
    <row r="23" spans="1:8" x14ac:dyDescent="0.45">
      <c r="A23" s="447">
        <f t="shared" si="0"/>
        <v>13</v>
      </c>
      <c r="B23" s="462"/>
      <c r="C23" s="463"/>
      <c r="D23" s="463"/>
      <c r="E23" s="464"/>
      <c r="F23" s="465"/>
      <c r="G23" s="454"/>
      <c r="H23" s="447">
        <f t="shared" si="1"/>
        <v>13</v>
      </c>
    </row>
    <row r="24" spans="1:8" ht="15.75" x14ac:dyDescent="0.5">
      <c r="A24" s="447">
        <f t="shared" si="0"/>
        <v>14</v>
      </c>
      <c r="B24" s="451" t="s">
        <v>297</v>
      </c>
      <c r="C24" s="452"/>
      <c r="D24" s="452"/>
      <c r="E24" s="466">
        <f>SUM(E12:E22)</f>
        <v>3.0302917583687035E-2</v>
      </c>
      <c r="F24" s="28" t="s">
        <v>16</v>
      </c>
      <c r="G24" s="454" t="str">
        <f>"Sum Lines "&amp;A12&amp;" thru "&amp;A22&amp;""</f>
        <v>Sum Lines 2 thru 12</v>
      </c>
      <c r="H24" s="447">
        <f t="shared" si="1"/>
        <v>14</v>
      </c>
    </row>
    <row r="25" spans="1:8" x14ac:dyDescent="0.45">
      <c r="A25" s="447">
        <f t="shared" si="0"/>
        <v>15</v>
      </c>
      <c r="B25" s="443"/>
      <c r="C25" s="455"/>
      <c r="D25" s="455"/>
      <c r="E25" s="467"/>
      <c r="F25" s="468"/>
      <c r="G25" s="454"/>
      <c r="H25" s="447">
        <f t="shared" si="1"/>
        <v>15</v>
      </c>
    </row>
    <row r="26" spans="1:8" x14ac:dyDescent="0.45">
      <c r="A26" s="447">
        <f t="shared" si="0"/>
        <v>16</v>
      </c>
      <c r="B26" s="444" t="s">
        <v>298</v>
      </c>
      <c r="C26" s="469">
        <v>1.0274999999999999E-2</v>
      </c>
      <c r="D26" s="455"/>
      <c r="E26" s="696">
        <f>E24*C26</f>
        <v>3.1136247817238426E-4</v>
      </c>
      <c r="F26" s="470"/>
      <c r="G26" s="454" t="str">
        <f>"Line "&amp;A24&amp;" x Franchise Fee Rate"</f>
        <v>Line 14 x Franchise Fee Rate</v>
      </c>
      <c r="H26" s="447">
        <f t="shared" si="1"/>
        <v>16</v>
      </c>
    </row>
    <row r="27" spans="1:8" x14ac:dyDescent="0.45">
      <c r="A27" s="447">
        <f t="shared" si="0"/>
        <v>17</v>
      </c>
      <c r="B27" s="443"/>
      <c r="C27" s="455"/>
      <c r="D27" s="455"/>
      <c r="E27" s="471"/>
      <c r="F27" s="472"/>
      <c r="G27" s="454"/>
      <c r="H27" s="447">
        <f t="shared" si="1"/>
        <v>17</v>
      </c>
    </row>
    <row r="28" spans="1:8" ht="16.149999999999999" thickBot="1" x14ac:dyDescent="0.55000000000000004">
      <c r="A28" s="447">
        <f t="shared" si="0"/>
        <v>18</v>
      </c>
      <c r="B28" s="443" t="s">
        <v>299</v>
      </c>
      <c r="C28" s="455"/>
      <c r="D28" s="455"/>
      <c r="E28" s="473">
        <f>E24+E26</f>
        <v>3.0614280061859418E-2</v>
      </c>
      <c r="F28" s="28" t="s">
        <v>16</v>
      </c>
      <c r="G28" s="454" t="str">
        <f>"Line "&amp;A24&amp;" + Line "&amp;A26</f>
        <v>Line 14 + Line 16</v>
      </c>
      <c r="H28" s="447">
        <f t="shared" si="1"/>
        <v>18</v>
      </c>
    </row>
    <row r="29" spans="1:8" ht="15.75" thickTop="1" x14ac:dyDescent="0.45">
      <c r="A29" s="447">
        <f t="shared" si="0"/>
        <v>19</v>
      </c>
      <c r="B29" s="444"/>
      <c r="C29" s="446"/>
      <c r="D29" s="446"/>
      <c r="E29" s="455"/>
      <c r="F29" s="443"/>
      <c r="G29" s="443"/>
      <c r="H29" s="447">
        <f t="shared" si="1"/>
        <v>19</v>
      </c>
    </row>
    <row r="30" spans="1:8" x14ac:dyDescent="0.45">
      <c r="A30" s="447">
        <f t="shared" si="0"/>
        <v>20</v>
      </c>
      <c r="B30" s="450" t="s">
        <v>300</v>
      </c>
      <c r="C30" s="474"/>
      <c r="D30" s="474"/>
      <c r="E30" s="446"/>
      <c r="F30" s="444"/>
      <c r="G30" s="443"/>
      <c r="H30" s="447">
        <f t="shared" si="1"/>
        <v>20</v>
      </c>
    </row>
    <row r="31" spans="1:8" x14ac:dyDescent="0.45">
      <c r="A31" s="447">
        <f t="shared" si="0"/>
        <v>21</v>
      </c>
      <c r="B31" s="451" t="s">
        <v>500</v>
      </c>
      <c r="C31" s="452"/>
      <c r="D31" s="452"/>
      <c r="E31" s="475">
        <v>27000</v>
      </c>
      <c r="F31" s="449"/>
      <c r="G31" s="454" t="s">
        <v>301</v>
      </c>
      <c r="H31" s="447">
        <f t="shared" si="1"/>
        <v>21</v>
      </c>
    </row>
    <row r="32" spans="1:8" x14ac:dyDescent="0.45">
      <c r="A32" s="447">
        <f t="shared" si="0"/>
        <v>22</v>
      </c>
      <c r="B32" s="451"/>
      <c r="C32" s="452"/>
      <c r="D32" s="452"/>
      <c r="E32" s="452"/>
      <c r="F32" s="451"/>
      <c r="G32" s="454"/>
      <c r="H32" s="447">
        <f t="shared" si="1"/>
        <v>22</v>
      </c>
    </row>
    <row r="33" spans="1:8" ht="15.75" x14ac:dyDescent="0.5">
      <c r="A33" s="447">
        <f t="shared" si="0"/>
        <v>23</v>
      </c>
      <c r="B33" s="451" t="s">
        <v>302</v>
      </c>
      <c r="C33" s="452"/>
      <c r="D33" s="452"/>
      <c r="E33" s="466">
        <f>+E28</f>
        <v>3.0614280061859418E-2</v>
      </c>
      <c r="F33" s="28" t="s">
        <v>16</v>
      </c>
      <c r="G33" s="454" t="str">
        <f>"Line "&amp;A28&amp;" Above"</f>
        <v>Line 18 Above</v>
      </c>
      <c r="H33" s="447">
        <f t="shared" si="1"/>
        <v>23</v>
      </c>
    </row>
    <row r="34" spans="1:8" x14ac:dyDescent="0.45">
      <c r="A34" s="447">
        <f t="shared" si="0"/>
        <v>24</v>
      </c>
      <c r="B34" s="443"/>
      <c r="C34" s="455"/>
      <c r="D34" s="455"/>
      <c r="E34" s="476"/>
      <c r="F34" s="477"/>
      <c r="G34" s="454"/>
      <c r="H34" s="447">
        <f t="shared" si="1"/>
        <v>24</v>
      </c>
    </row>
    <row r="35" spans="1:8" ht="16.149999999999999" thickBot="1" x14ac:dyDescent="0.55000000000000004">
      <c r="A35" s="447">
        <f t="shared" si="0"/>
        <v>25</v>
      </c>
      <c r="B35" s="443" t="s">
        <v>303</v>
      </c>
      <c r="C35" s="452"/>
      <c r="D35" s="452"/>
      <c r="E35" s="63">
        <f>E31*E33</f>
        <v>826.58556167020424</v>
      </c>
      <c r="F35" s="28" t="s">
        <v>16</v>
      </c>
      <c r="G35" s="454" t="str">
        <f>"Line "&amp;A31&amp;" x Line "&amp;A33</f>
        <v>Line 21 x Line 23</v>
      </c>
      <c r="H35" s="447">
        <f t="shared" si="1"/>
        <v>25</v>
      </c>
    </row>
    <row r="36" spans="1:8" ht="15.75" thickTop="1" x14ac:dyDescent="0.45">
      <c r="A36" s="447"/>
      <c r="B36" s="443"/>
      <c r="C36" s="451"/>
      <c r="D36" s="451"/>
      <c r="E36" s="478"/>
      <c r="F36" s="479"/>
      <c r="G36" s="454"/>
      <c r="H36" s="447"/>
    </row>
    <row r="37" spans="1:8" ht="15.75" x14ac:dyDescent="0.5">
      <c r="A37" s="679" t="s">
        <v>16</v>
      </c>
      <c r="B37" s="25" t="s">
        <v>288</v>
      </c>
      <c r="C37" s="443"/>
      <c r="D37" s="443"/>
      <c r="E37" s="462"/>
      <c r="F37" s="462"/>
      <c r="G37" s="444"/>
      <c r="H37" s="287"/>
    </row>
    <row r="38" spans="1:8" ht="15.75" x14ac:dyDescent="0.5">
      <c r="A38" s="679"/>
      <c r="B38" s="25"/>
      <c r="C38" s="443"/>
      <c r="D38" s="443"/>
      <c r="E38" s="462"/>
      <c r="F38" s="462"/>
      <c r="G38" s="444"/>
      <c r="H38" s="287"/>
    </row>
    <row r="39" spans="1:8" ht="15.75" x14ac:dyDescent="0.5">
      <c r="A39" s="679"/>
      <c r="B39" s="25"/>
      <c r="C39" s="443"/>
      <c r="D39" s="443"/>
      <c r="E39" s="462"/>
      <c r="F39" s="462"/>
      <c r="G39" s="444"/>
      <c r="H39" s="287"/>
    </row>
    <row r="40" spans="1:8" x14ac:dyDescent="0.45">
      <c r="A40" s="446"/>
      <c r="B40" s="805" t="str">
        <f>B2</f>
        <v>SAN DIEGO GAS &amp; ELECTRIC COMPANY</v>
      </c>
      <c r="C40" s="805"/>
      <c r="D40" s="805"/>
      <c r="E40" s="805"/>
      <c r="F40" s="805"/>
      <c r="G40" s="805"/>
      <c r="H40" s="287"/>
    </row>
    <row r="41" spans="1:8" x14ac:dyDescent="0.45">
      <c r="B41" s="805" t="str">
        <f>B3</f>
        <v>CITIZENS' SHARE OF THE SX-PQ UNDERGROUND LINE SEGMENT</v>
      </c>
      <c r="C41" s="805"/>
      <c r="D41" s="805"/>
      <c r="E41" s="805"/>
      <c r="F41" s="805"/>
      <c r="G41" s="805"/>
      <c r="H41" s="463"/>
    </row>
    <row r="42" spans="1:8" x14ac:dyDescent="0.45">
      <c r="B42" s="804" t="str">
        <f>B4</f>
        <v xml:space="preserve">Section 2 - Non-Direct Expense Cost Component </v>
      </c>
      <c r="C42" s="804"/>
      <c r="D42" s="804"/>
      <c r="E42" s="804"/>
      <c r="F42" s="804"/>
      <c r="G42" s="804"/>
      <c r="H42" s="455"/>
    </row>
    <row r="43" spans="1:8" x14ac:dyDescent="0.45">
      <c r="B43" s="802" t="str">
        <f>B5</f>
        <v>Base Period &amp; True-Up Period 12 - Months Ending December 31, 2019</v>
      </c>
      <c r="C43" s="802"/>
      <c r="D43" s="802"/>
      <c r="E43" s="802"/>
      <c r="F43" s="802"/>
      <c r="G43" s="802"/>
      <c r="H43" s="455"/>
    </row>
    <row r="44" spans="1:8" x14ac:dyDescent="0.45">
      <c r="B44" s="803" t="str">
        <f>B6</f>
        <v>($1,000)</v>
      </c>
      <c r="C44" s="799"/>
      <c r="D44" s="799"/>
      <c r="E44" s="799"/>
      <c r="F44" s="799"/>
      <c r="G44" s="799"/>
      <c r="H44" s="212"/>
    </row>
    <row r="45" spans="1:8" x14ac:dyDescent="0.45">
      <c r="A45" s="480"/>
      <c r="B45" s="443"/>
      <c r="C45" s="443"/>
      <c r="D45" s="443"/>
      <c r="E45" s="443"/>
      <c r="F45" s="443"/>
      <c r="G45" s="443"/>
      <c r="H45" s="287"/>
    </row>
    <row r="46" spans="1:8" x14ac:dyDescent="0.45">
      <c r="A46" s="447" t="s">
        <v>2</v>
      </c>
      <c r="B46" s="443"/>
      <c r="C46" s="443"/>
      <c r="D46" s="443"/>
      <c r="E46" s="683"/>
      <c r="F46" s="683"/>
      <c r="G46" s="443"/>
      <c r="H46" s="447" t="s">
        <v>2</v>
      </c>
    </row>
    <row r="47" spans="1:8" x14ac:dyDescent="0.45">
      <c r="A47" s="447" t="s">
        <v>6</v>
      </c>
      <c r="B47" s="443"/>
      <c r="C47" s="443"/>
      <c r="D47" s="443"/>
      <c r="E47" s="448" t="s">
        <v>4</v>
      </c>
      <c r="F47" s="454"/>
      <c r="G47" s="448" t="s">
        <v>5</v>
      </c>
      <c r="H47" s="447" t="s">
        <v>6</v>
      </c>
    </row>
    <row r="48" spans="1:8" x14ac:dyDescent="0.45">
      <c r="A48" s="447"/>
      <c r="B48" s="443"/>
      <c r="C48" s="443"/>
      <c r="D48" s="443"/>
      <c r="E48" s="683"/>
      <c r="F48" s="683"/>
      <c r="G48" s="443"/>
      <c r="H48" s="447"/>
    </row>
    <row r="49" spans="1:10" x14ac:dyDescent="0.45">
      <c r="A49" s="447">
        <v>1</v>
      </c>
      <c r="B49" s="481" t="s">
        <v>22</v>
      </c>
      <c r="C49" s="481"/>
      <c r="D49" s="481"/>
      <c r="E49" s="482">
        <f>'Pg10 Revised AV-4'!C16</f>
        <v>5036002.4735652609</v>
      </c>
      <c r="F49" s="683"/>
      <c r="G49" s="454" t="s">
        <v>538</v>
      </c>
      <c r="H49" s="447">
        <f>A49</f>
        <v>1</v>
      </c>
    </row>
    <row r="50" spans="1:10" x14ac:dyDescent="0.45">
      <c r="A50" s="447">
        <f>A49+1</f>
        <v>2</v>
      </c>
      <c r="B50" s="443"/>
      <c r="C50" s="443"/>
      <c r="D50" s="443"/>
      <c r="E50" s="442"/>
      <c r="F50" s="683"/>
      <c r="G50" s="443"/>
      <c r="H50" s="447">
        <f>H49+1</f>
        <v>2</v>
      </c>
    </row>
    <row r="51" spans="1:10" x14ac:dyDescent="0.45">
      <c r="A51" s="447">
        <f t="shared" ref="A51:A99" si="2">A50+1</f>
        <v>3</v>
      </c>
      <c r="B51" s="450" t="s">
        <v>304</v>
      </c>
      <c r="C51" s="450"/>
      <c r="D51" s="450"/>
      <c r="E51" s="483"/>
      <c r="F51" s="484"/>
      <c r="G51" s="443"/>
      <c r="H51" s="447">
        <f t="shared" ref="H51:H99" si="3">H50+1</f>
        <v>3</v>
      </c>
    </row>
    <row r="52" spans="1:10" ht="15.75" x14ac:dyDescent="0.5">
      <c r="A52" s="447">
        <f t="shared" si="2"/>
        <v>4</v>
      </c>
      <c r="B52" s="451" t="s">
        <v>305</v>
      </c>
      <c r="C52" s="451"/>
      <c r="D52" s="451"/>
      <c r="E52" s="485">
        <f>'Pg7 Revised Stmt AH'!E28</f>
        <v>33850.143890000007</v>
      </c>
      <c r="F52" s="28" t="s">
        <v>16</v>
      </c>
      <c r="G52" s="454" t="s">
        <v>539</v>
      </c>
      <c r="H52" s="447">
        <f t="shared" si="3"/>
        <v>4</v>
      </c>
      <c r="J52" s="486"/>
    </row>
    <row r="53" spans="1:10" x14ac:dyDescent="0.45">
      <c r="A53" s="447">
        <f t="shared" si="2"/>
        <v>5</v>
      </c>
      <c r="B53" s="451"/>
      <c r="C53" s="451"/>
      <c r="D53" s="451"/>
      <c r="E53" s="487"/>
      <c r="F53" s="488"/>
      <c r="G53" s="454"/>
      <c r="H53" s="447">
        <f t="shared" si="3"/>
        <v>5</v>
      </c>
      <c r="J53" s="486"/>
    </row>
    <row r="54" spans="1:10" ht="15.75" x14ac:dyDescent="0.5">
      <c r="A54" s="447">
        <f t="shared" si="2"/>
        <v>6</v>
      </c>
      <c r="B54" s="451" t="s">
        <v>306</v>
      </c>
      <c r="C54" s="443"/>
      <c r="D54" s="443"/>
      <c r="E54" s="489">
        <f>E52/E49</f>
        <v>6.7216297187470686E-3</v>
      </c>
      <c r="F54" s="28" t="s">
        <v>16</v>
      </c>
      <c r="G54" s="454" t="s">
        <v>540</v>
      </c>
      <c r="H54" s="447">
        <f t="shared" si="3"/>
        <v>6</v>
      </c>
      <c r="J54" s="486"/>
    </row>
    <row r="55" spans="1:10" x14ac:dyDescent="0.45">
      <c r="A55" s="447">
        <f t="shared" si="2"/>
        <v>7</v>
      </c>
      <c r="B55" s="451"/>
      <c r="C55" s="451"/>
      <c r="D55" s="451"/>
      <c r="E55" s="490"/>
      <c r="F55" s="491"/>
      <c r="G55" s="454"/>
      <c r="H55" s="447">
        <f t="shared" si="3"/>
        <v>7</v>
      </c>
    </row>
    <row r="56" spans="1:10" x14ac:dyDescent="0.45">
      <c r="A56" s="447">
        <f t="shared" si="2"/>
        <v>8</v>
      </c>
      <c r="B56" s="450" t="s">
        <v>307</v>
      </c>
      <c r="C56" s="450"/>
      <c r="D56" s="450"/>
      <c r="E56" s="492"/>
      <c r="F56" s="493"/>
      <c r="G56" s="494"/>
      <c r="H56" s="447">
        <f t="shared" si="3"/>
        <v>8</v>
      </c>
    </row>
    <row r="57" spans="1:10" ht="15.75" x14ac:dyDescent="0.5">
      <c r="A57" s="447">
        <f t="shared" si="2"/>
        <v>9</v>
      </c>
      <c r="B57" s="451" t="s">
        <v>308</v>
      </c>
      <c r="C57" s="451"/>
      <c r="D57" s="451"/>
      <c r="E57" s="495">
        <f>'Pg7 Revised Stmt AH'!E51</f>
        <v>38466.228605837343</v>
      </c>
      <c r="F57" s="28" t="s">
        <v>16</v>
      </c>
      <c r="G57" s="454" t="s">
        <v>541</v>
      </c>
      <c r="H57" s="447">
        <f t="shared" si="3"/>
        <v>9</v>
      </c>
    </row>
    <row r="58" spans="1:10" x14ac:dyDescent="0.45">
      <c r="A58" s="447">
        <f t="shared" si="2"/>
        <v>10</v>
      </c>
      <c r="B58" s="443"/>
      <c r="C58" s="443"/>
      <c r="D58" s="443"/>
      <c r="E58" s="492"/>
      <c r="F58" s="493"/>
      <c r="G58" s="454"/>
      <c r="H58" s="447">
        <f t="shared" si="3"/>
        <v>10</v>
      </c>
    </row>
    <row r="59" spans="1:10" x14ac:dyDescent="0.45">
      <c r="A59" s="447">
        <f t="shared" si="2"/>
        <v>11</v>
      </c>
      <c r="B59" s="496" t="s">
        <v>309</v>
      </c>
      <c r="C59" s="494"/>
      <c r="D59" s="494"/>
      <c r="E59" s="497">
        <f>E57/E49</f>
        <v>7.6382465671437612E-3</v>
      </c>
      <c r="F59" s="498"/>
      <c r="G59" s="454" t="s">
        <v>542</v>
      </c>
      <c r="H59" s="447">
        <f t="shared" si="3"/>
        <v>11</v>
      </c>
    </row>
    <row r="60" spans="1:10" x14ac:dyDescent="0.45">
      <c r="A60" s="447">
        <f t="shared" si="2"/>
        <v>12</v>
      </c>
      <c r="B60" s="494"/>
      <c r="C60" s="494"/>
      <c r="D60" s="494"/>
      <c r="E60" s="499"/>
      <c r="F60" s="500"/>
      <c r="G60" s="454"/>
      <c r="H60" s="447">
        <f t="shared" si="3"/>
        <v>12</v>
      </c>
    </row>
    <row r="61" spans="1:10" x14ac:dyDescent="0.45">
      <c r="A61" s="447">
        <f t="shared" si="2"/>
        <v>13</v>
      </c>
      <c r="B61" s="450" t="s">
        <v>310</v>
      </c>
      <c r="C61" s="494"/>
      <c r="D61" s="494"/>
      <c r="E61" s="499"/>
      <c r="F61" s="500"/>
      <c r="G61" s="454"/>
      <c r="H61" s="447">
        <f t="shared" si="3"/>
        <v>13</v>
      </c>
    </row>
    <row r="62" spans="1:10" x14ac:dyDescent="0.45">
      <c r="A62" s="447">
        <f t="shared" si="2"/>
        <v>14</v>
      </c>
      <c r="B62" s="496" t="s">
        <v>293</v>
      </c>
      <c r="C62" s="494"/>
      <c r="D62" s="494"/>
      <c r="E62" s="501">
        <v>49612.974713583768</v>
      </c>
      <c r="F62" s="500"/>
      <c r="G62" s="454" t="s">
        <v>543</v>
      </c>
      <c r="H62" s="447">
        <f t="shared" si="3"/>
        <v>14</v>
      </c>
    </row>
    <row r="63" spans="1:10" x14ac:dyDescent="0.45">
      <c r="A63" s="447">
        <f t="shared" si="2"/>
        <v>15</v>
      </c>
      <c r="B63" s="494"/>
      <c r="C63" s="494"/>
      <c r="D63" s="494"/>
      <c r="E63" s="492"/>
      <c r="F63" s="500"/>
      <c r="G63" s="454"/>
      <c r="H63" s="447">
        <f t="shared" si="3"/>
        <v>15</v>
      </c>
    </row>
    <row r="64" spans="1:10" x14ac:dyDescent="0.45">
      <c r="A64" s="447">
        <f t="shared" si="2"/>
        <v>16</v>
      </c>
      <c r="B64" s="496" t="s">
        <v>311</v>
      </c>
      <c r="C64" s="494"/>
      <c r="D64" s="494"/>
      <c r="E64" s="497">
        <f>E62/E49</f>
        <v>9.8516581304337672E-3</v>
      </c>
      <c r="F64" s="500"/>
      <c r="G64" s="454" t="s">
        <v>544</v>
      </c>
      <c r="H64" s="447">
        <f t="shared" si="3"/>
        <v>16</v>
      </c>
    </row>
    <row r="65" spans="1:8" x14ac:dyDescent="0.45">
      <c r="A65" s="447">
        <f t="shared" si="2"/>
        <v>17</v>
      </c>
      <c r="B65" s="494"/>
      <c r="C65" s="494"/>
      <c r="D65" s="494"/>
      <c r="E65" s="499"/>
      <c r="F65" s="500"/>
      <c r="G65" s="454"/>
      <c r="H65" s="447">
        <f t="shared" si="3"/>
        <v>17</v>
      </c>
    </row>
    <row r="66" spans="1:8" x14ac:dyDescent="0.45">
      <c r="A66" s="447">
        <f t="shared" si="2"/>
        <v>18</v>
      </c>
      <c r="B66" s="450" t="s">
        <v>312</v>
      </c>
      <c r="C66" s="450"/>
      <c r="D66" s="450"/>
      <c r="E66" s="499"/>
      <c r="F66" s="500"/>
      <c r="G66" s="454"/>
      <c r="H66" s="447">
        <f t="shared" si="3"/>
        <v>18</v>
      </c>
    </row>
    <row r="67" spans="1:8" x14ac:dyDescent="0.45">
      <c r="A67" s="447">
        <f t="shared" si="2"/>
        <v>19</v>
      </c>
      <c r="B67" s="451" t="s">
        <v>294</v>
      </c>
      <c r="C67" s="451"/>
      <c r="D67" s="451"/>
      <c r="E67" s="501">
        <v>1339.4234411339403</v>
      </c>
      <c r="F67" s="683"/>
      <c r="G67" s="454" t="s">
        <v>545</v>
      </c>
      <c r="H67" s="447">
        <f t="shared" si="3"/>
        <v>19</v>
      </c>
    </row>
    <row r="68" spans="1:8" x14ac:dyDescent="0.45">
      <c r="A68" s="447">
        <f t="shared" si="2"/>
        <v>20</v>
      </c>
      <c r="B68" s="494"/>
      <c r="C68" s="494"/>
      <c r="D68" s="494"/>
      <c r="E68" s="499"/>
      <c r="F68" s="500"/>
      <c r="G68" s="454"/>
      <c r="H68" s="447">
        <f t="shared" si="3"/>
        <v>20</v>
      </c>
    </row>
    <row r="69" spans="1:8" x14ac:dyDescent="0.45">
      <c r="A69" s="447">
        <f t="shared" si="2"/>
        <v>21</v>
      </c>
      <c r="B69" s="496" t="s">
        <v>313</v>
      </c>
      <c r="C69" s="494"/>
      <c r="D69" s="494"/>
      <c r="E69" s="497">
        <f>E67/E49</f>
        <v>2.659695757031051E-4</v>
      </c>
      <c r="F69" s="498"/>
      <c r="G69" s="454" t="s">
        <v>546</v>
      </c>
      <c r="H69" s="447">
        <f t="shared" si="3"/>
        <v>21</v>
      </c>
    </row>
    <row r="70" spans="1:8" x14ac:dyDescent="0.45">
      <c r="A70" s="447">
        <f t="shared" si="2"/>
        <v>22</v>
      </c>
      <c r="B70" s="494"/>
      <c r="C70" s="494"/>
      <c r="D70" s="494"/>
      <c r="E70" s="499"/>
      <c r="F70" s="500"/>
      <c r="G70" s="454"/>
      <c r="H70" s="447">
        <f t="shared" si="3"/>
        <v>22</v>
      </c>
    </row>
    <row r="71" spans="1:8" x14ac:dyDescent="0.45">
      <c r="A71" s="447">
        <f t="shared" si="2"/>
        <v>23</v>
      </c>
      <c r="B71" s="450" t="s">
        <v>314</v>
      </c>
      <c r="C71" s="450"/>
      <c r="D71" s="450"/>
      <c r="E71" s="502"/>
      <c r="F71" s="503"/>
      <c r="G71" s="454"/>
      <c r="H71" s="447">
        <f t="shared" si="3"/>
        <v>23</v>
      </c>
    </row>
    <row r="72" spans="1:8" x14ac:dyDescent="0.45">
      <c r="A72" s="447">
        <f t="shared" si="2"/>
        <v>24</v>
      </c>
      <c r="B72" s="504" t="s">
        <v>501</v>
      </c>
      <c r="C72" s="443"/>
      <c r="D72" s="443"/>
      <c r="E72" s="502"/>
      <c r="F72" s="503"/>
      <c r="G72" s="454"/>
      <c r="H72" s="447">
        <f t="shared" si="3"/>
        <v>24</v>
      </c>
    </row>
    <row r="73" spans="1:8" x14ac:dyDescent="0.45">
      <c r="A73" s="447">
        <f t="shared" si="2"/>
        <v>25</v>
      </c>
      <c r="B73" s="451" t="s">
        <v>315</v>
      </c>
      <c r="C73" s="451"/>
      <c r="D73" s="451"/>
      <c r="E73" s="505">
        <f>'Pg8 Revised Stmt AL'!G15</f>
        <v>50559.74647056016</v>
      </c>
      <c r="F73" s="683"/>
      <c r="G73" s="454" t="s">
        <v>547</v>
      </c>
      <c r="H73" s="447">
        <f t="shared" si="3"/>
        <v>25</v>
      </c>
    </row>
    <row r="74" spans="1:8" x14ac:dyDescent="0.45">
      <c r="A74" s="447">
        <f t="shared" si="2"/>
        <v>26</v>
      </c>
      <c r="B74" s="451" t="s">
        <v>316</v>
      </c>
      <c r="C74" s="451"/>
      <c r="D74" s="451"/>
      <c r="E74" s="506">
        <f>'Pg8 Revised Stmt AL'!G19</f>
        <v>25324.807208075756</v>
      </c>
      <c r="F74" s="683"/>
      <c r="G74" s="454" t="s">
        <v>548</v>
      </c>
      <c r="H74" s="447">
        <f t="shared" si="3"/>
        <v>26</v>
      </c>
    </row>
    <row r="75" spans="1:8" ht="15.75" x14ac:dyDescent="0.5">
      <c r="A75" s="447">
        <f t="shared" si="2"/>
        <v>27</v>
      </c>
      <c r="B75" s="451" t="s">
        <v>317</v>
      </c>
      <c r="C75" s="451"/>
      <c r="D75" s="451"/>
      <c r="E75" s="507">
        <f>'Pg8 Revised Stmt AL'!E29</f>
        <v>9039.5465619796687</v>
      </c>
      <c r="F75" s="28" t="s">
        <v>16</v>
      </c>
      <c r="G75" s="454" t="s">
        <v>549</v>
      </c>
      <c r="H75" s="447">
        <f t="shared" si="3"/>
        <v>27</v>
      </c>
    </row>
    <row r="76" spans="1:8" ht="15.75" x14ac:dyDescent="0.5">
      <c r="A76" s="447">
        <f t="shared" si="2"/>
        <v>28</v>
      </c>
      <c r="B76" s="451" t="s">
        <v>318</v>
      </c>
      <c r="C76" s="443"/>
      <c r="D76" s="443"/>
      <c r="E76" s="508">
        <f>SUM(E73:E75)</f>
        <v>84924.100240615589</v>
      </c>
      <c r="F76" s="28" t="s">
        <v>16</v>
      </c>
      <c r="G76" s="454" t="s">
        <v>550</v>
      </c>
      <c r="H76" s="447">
        <f t="shared" si="3"/>
        <v>28</v>
      </c>
    </row>
    <row r="77" spans="1:8" x14ac:dyDescent="0.45">
      <c r="A77" s="447">
        <f t="shared" si="2"/>
        <v>29</v>
      </c>
      <c r="B77" s="443"/>
      <c r="C77" s="443"/>
      <c r="D77" s="443"/>
      <c r="E77" s="509"/>
      <c r="F77" s="510"/>
      <c r="G77" s="454"/>
      <c r="H77" s="447">
        <f t="shared" si="3"/>
        <v>29</v>
      </c>
    </row>
    <row r="78" spans="1:8" x14ac:dyDescent="0.45">
      <c r="A78" s="447">
        <f t="shared" si="2"/>
        <v>30</v>
      </c>
      <c r="B78" s="451" t="s">
        <v>319</v>
      </c>
      <c r="C78" s="451"/>
      <c r="D78" s="451"/>
      <c r="E78" s="511">
        <f>'Pg9 Revised Stmt AV'!G110</f>
        <v>0.10404980118007628</v>
      </c>
      <c r="F78" s="683"/>
      <c r="G78" s="454" t="s">
        <v>551</v>
      </c>
      <c r="H78" s="447">
        <f t="shared" si="3"/>
        <v>30</v>
      </c>
    </row>
    <row r="79" spans="1:8" x14ac:dyDescent="0.45">
      <c r="A79" s="447">
        <f t="shared" si="2"/>
        <v>31</v>
      </c>
      <c r="B79" s="443"/>
      <c r="C79" s="443"/>
      <c r="D79" s="443"/>
      <c r="E79" s="509"/>
      <c r="F79" s="510"/>
      <c r="G79" s="454"/>
      <c r="H79" s="447">
        <f t="shared" si="3"/>
        <v>31</v>
      </c>
    </row>
    <row r="80" spans="1:8" ht="15.75" x14ac:dyDescent="0.5">
      <c r="A80" s="447">
        <f t="shared" si="2"/>
        <v>32</v>
      </c>
      <c r="B80" s="451" t="s">
        <v>320</v>
      </c>
      <c r="C80" s="443"/>
      <c r="D80" s="443"/>
      <c r="E80" s="512">
        <f>E76*E78</f>
        <v>8836.3357454329198</v>
      </c>
      <c r="F80" s="28" t="s">
        <v>16</v>
      </c>
      <c r="G80" s="454" t="s">
        <v>552</v>
      </c>
      <c r="H80" s="447">
        <f t="shared" si="3"/>
        <v>32</v>
      </c>
    </row>
    <row r="81" spans="1:9" x14ac:dyDescent="0.45">
      <c r="A81" s="447">
        <f t="shared" si="2"/>
        <v>33</v>
      </c>
      <c r="B81" s="443"/>
      <c r="C81" s="443"/>
      <c r="D81" s="443"/>
      <c r="E81" s="509"/>
      <c r="F81" s="510"/>
      <c r="G81" s="454"/>
      <c r="H81" s="447">
        <f t="shared" si="3"/>
        <v>33</v>
      </c>
    </row>
    <row r="82" spans="1:9" x14ac:dyDescent="0.45">
      <c r="A82" s="447">
        <f t="shared" si="2"/>
        <v>34</v>
      </c>
      <c r="B82" s="451" t="s">
        <v>321</v>
      </c>
      <c r="C82" s="443"/>
      <c r="D82" s="443"/>
      <c r="E82" s="497">
        <f>E80/E49</f>
        <v>1.7546329239940177E-3</v>
      </c>
      <c r="F82" s="498"/>
      <c r="G82" s="454" t="s">
        <v>553</v>
      </c>
      <c r="H82" s="447">
        <f t="shared" si="3"/>
        <v>34</v>
      </c>
    </row>
    <row r="83" spans="1:9" x14ac:dyDescent="0.45">
      <c r="A83" s="447">
        <f t="shared" si="2"/>
        <v>35</v>
      </c>
      <c r="B83" s="451"/>
      <c r="C83" s="443"/>
      <c r="D83" s="443"/>
      <c r="E83" s="513"/>
      <c r="F83" s="498"/>
      <c r="G83" s="454"/>
      <c r="H83" s="447">
        <f t="shared" si="3"/>
        <v>35</v>
      </c>
    </row>
    <row r="84" spans="1:9" x14ac:dyDescent="0.45">
      <c r="A84" s="447">
        <f t="shared" si="2"/>
        <v>36</v>
      </c>
      <c r="B84" s="450" t="s">
        <v>322</v>
      </c>
      <c r="C84" s="514"/>
      <c r="D84" s="514"/>
      <c r="E84" s="515"/>
      <c r="F84" s="515"/>
      <c r="G84" s="515"/>
      <c r="H84" s="447">
        <f t="shared" si="3"/>
        <v>36</v>
      </c>
    </row>
    <row r="85" spans="1:9" x14ac:dyDescent="0.45">
      <c r="A85" s="447">
        <f t="shared" si="2"/>
        <v>37</v>
      </c>
      <c r="B85" s="451" t="s">
        <v>323</v>
      </c>
      <c r="C85" s="514"/>
      <c r="D85" s="514"/>
      <c r="E85" s="253">
        <f>'Pg10 Revised AV-4'!C14</f>
        <v>29317.665249830297</v>
      </c>
      <c r="F85" s="515"/>
      <c r="G85" s="454" t="s">
        <v>554</v>
      </c>
      <c r="H85" s="447">
        <f t="shared" si="3"/>
        <v>37</v>
      </c>
    </row>
    <row r="86" spans="1:9" x14ac:dyDescent="0.45">
      <c r="A86" s="447">
        <f t="shared" si="2"/>
        <v>38</v>
      </c>
      <c r="B86" s="450"/>
      <c r="C86" s="514"/>
      <c r="D86" s="514"/>
      <c r="E86" s="515"/>
      <c r="F86" s="515"/>
      <c r="G86" s="515"/>
      <c r="H86" s="447">
        <f t="shared" si="3"/>
        <v>38</v>
      </c>
    </row>
    <row r="87" spans="1:9" x14ac:dyDescent="0.45">
      <c r="A87" s="447">
        <f t="shared" si="2"/>
        <v>39</v>
      </c>
      <c r="B87" s="451" t="s">
        <v>324</v>
      </c>
      <c r="C87" s="514"/>
      <c r="D87" s="514"/>
      <c r="E87" s="516">
        <f>'Pg10 Revised AV-4'!C15</f>
        <v>55105.899285469299</v>
      </c>
      <c r="F87" s="515"/>
      <c r="G87" s="454" t="s">
        <v>555</v>
      </c>
      <c r="H87" s="447">
        <f t="shared" si="3"/>
        <v>39</v>
      </c>
    </row>
    <row r="88" spans="1:9" ht="18.399999999999999" x14ac:dyDescent="0.85">
      <c r="A88" s="447">
        <f t="shared" si="2"/>
        <v>40</v>
      </c>
      <c r="B88" s="514"/>
      <c r="C88" s="517"/>
      <c r="D88" s="517"/>
      <c r="E88" s="518"/>
      <c r="F88" s="519"/>
      <c r="G88" s="514"/>
      <c r="H88" s="447">
        <f t="shared" si="3"/>
        <v>40</v>
      </c>
    </row>
    <row r="89" spans="1:9" x14ac:dyDescent="0.45">
      <c r="A89" s="447">
        <f t="shared" si="2"/>
        <v>41</v>
      </c>
      <c r="B89" s="451" t="s">
        <v>325</v>
      </c>
      <c r="C89" s="517"/>
      <c r="D89" s="517"/>
      <c r="E89" s="520">
        <f>E85+E87</f>
        <v>84423.564535299593</v>
      </c>
      <c r="F89" s="521"/>
      <c r="G89" s="454" t="s">
        <v>556</v>
      </c>
      <c r="H89" s="447">
        <f t="shared" si="3"/>
        <v>41</v>
      </c>
    </row>
    <row r="90" spans="1:9" x14ac:dyDescent="0.45">
      <c r="A90" s="447">
        <f t="shared" si="2"/>
        <v>42</v>
      </c>
      <c r="B90" s="522"/>
      <c r="C90" s="517"/>
      <c r="D90" s="517"/>
      <c r="E90" s="523"/>
      <c r="F90" s="521"/>
      <c r="G90" s="524"/>
      <c r="H90" s="447">
        <f t="shared" si="3"/>
        <v>42</v>
      </c>
    </row>
    <row r="91" spans="1:9" x14ac:dyDescent="0.45">
      <c r="A91" s="447">
        <f t="shared" si="2"/>
        <v>43</v>
      </c>
      <c r="B91" s="451" t="s">
        <v>319</v>
      </c>
      <c r="C91" s="517"/>
      <c r="D91" s="517"/>
      <c r="E91" s="525">
        <f>E78</f>
        <v>0.10404980118007628</v>
      </c>
      <c r="F91" s="521"/>
      <c r="G91" s="454" t="s">
        <v>557</v>
      </c>
      <c r="H91" s="447">
        <f t="shared" si="3"/>
        <v>43</v>
      </c>
    </row>
    <row r="92" spans="1:9" x14ac:dyDescent="0.45">
      <c r="A92" s="447">
        <f t="shared" si="2"/>
        <v>44</v>
      </c>
      <c r="B92" s="514"/>
      <c r="C92" s="517"/>
      <c r="D92" s="517"/>
      <c r="E92" s="526"/>
      <c r="F92" s="527"/>
      <c r="G92" s="514"/>
      <c r="H92" s="447">
        <f t="shared" si="3"/>
        <v>44</v>
      </c>
    </row>
    <row r="93" spans="1:9" x14ac:dyDescent="0.45">
      <c r="A93" s="447">
        <f t="shared" si="2"/>
        <v>45</v>
      </c>
      <c r="B93" s="451" t="s">
        <v>326</v>
      </c>
      <c r="C93" s="517"/>
      <c r="D93" s="517"/>
      <c r="E93" s="404">
        <f>E89*E91</f>
        <v>8784.2551048112618</v>
      </c>
      <c r="F93" s="528"/>
      <c r="G93" s="454" t="s">
        <v>558</v>
      </c>
      <c r="H93" s="447">
        <f t="shared" si="3"/>
        <v>45</v>
      </c>
    </row>
    <row r="94" spans="1:9" x14ac:dyDescent="0.45">
      <c r="A94" s="447">
        <f t="shared" si="2"/>
        <v>46</v>
      </c>
      <c r="B94" s="522"/>
      <c r="C94" s="517"/>
      <c r="D94" s="517"/>
      <c r="E94" s="529"/>
      <c r="F94" s="528"/>
      <c r="G94" s="524"/>
      <c r="H94" s="447">
        <f t="shared" si="3"/>
        <v>46</v>
      </c>
    </row>
    <row r="95" spans="1:9" x14ac:dyDescent="0.45">
      <c r="A95" s="447">
        <f t="shared" si="2"/>
        <v>47</v>
      </c>
      <c r="B95" s="451" t="s">
        <v>327</v>
      </c>
      <c r="C95" s="517"/>
      <c r="D95" s="517"/>
      <c r="E95" s="530">
        <v>11716.206406892918</v>
      </c>
      <c r="F95" s="528"/>
      <c r="G95" s="454" t="s">
        <v>559</v>
      </c>
      <c r="H95" s="447">
        <f t="shared" si="3"/>
        <v>47</v>
      </c>
      <c r="I95" s="517"/>
    </row>
    <row r="96" spans="1:9" x14ac:dyDescent="0.45">
      <c r="A96" s="447">
        <f t="shared" si="2"/>
        <v>48</v>
      </c>
      <c r="B96" s="451"/>
      <c r="C96" s="517"/>
      <c r="D96" s="517"/>
      <c r="E96" s="398"/>
      <c r="F96" s="528"/>
      <c r="G96" s="454"/>
      <c r="H96" s="447">
        <f t="shared" si="3"/>
        <v>48</v>
      </c>
    </row>
    <row r="97" spans="1:8" x14ac:dyDescent="0.45">
      <c r="A97" s="447">
        <f t="shared" si="2"/>
        <v>49</v>
      </c>
      <c r="B97" s="451" t="s">
        <v>328</v>
      </c>
      <c r="C97" s="517"/>
      <c r="D97" s="517"/>
      <c r="E97" s="398">
        <f>E93+E95</f>
        <v>20500.461511704179</v>
      </c>
      <c r="F97" s="528"/>
      <c r="G97" s="454" t="s">
        <v>560</v>
      </c>
      <c r="H97" s="447">
        <f t="shared" si="3"/>
        <v>49</v>
      </c>
    </row>
    <row r="98" spans="1:8" x14ac:dyDescent="0.45">
      <c r="A98" s="447">
        <f t="shared" si="2"/>
        <v>50</v>
      </c>
      <c r="B98" s="514"/>
      <c r="C98" s="517"/>
      <c r="D98" s="517"/>
      <c r="E98" s="531"/>
      <c r="F98" s="514"/>
      <c r="G98" s="514"/>
      <c r="H98" s="447">
        <f t="shared" si="3"/>
        <v>50</v>
      </c>
    </row>
    <row r="99" spans="1:8" ht="15.75" thickBot="1" x14ac:dyDescent="0.5">
      <c r="A99" s="447">
        <f t="shared" si="2"/>
        <v>51</v>
      </c>
      <c r="B99" s="451" t="s">
        <v>329</v>
      </c>
      <c r="C99" s="517"/>
      <c r="D99" s="517"/>
      <c r="E99" s="532">
        <f>E97/E49</f>
        <v>4.0707806676653167E-3</v>
      </c>
      <c r="F99" s="533"/>
      <c r="G99" s="454" t="s">
        <v>561</v>
      </c>
      <c r="H99" s="447">
        <f t="shared" si="3"/>
        <v>51</v>
      </c>
    </row>
    <row r="100" spans="1:8" ht="15.75" thickTop="1" x14ac:dyDescent="0.45">
      <c r="A100" s="455"/>
    </row>
    <row r="101" spans="1:8" ht="15.75" x14ac:dyDescent="0.5">
      <c r="A101" s="679" t="s">
        <v>16</v>
      </c>
      <c r="B101" s="25" t="s">
        <v>288</v>
      </c>
    </row>
    <row r="102" spans="1:8" x14ac:dyDescent="0.45">
      <c r="A102" s="455"/>
    </row>
    <row r="103" spans="1:8" x14ac:dyDescent="0.45">
      <c r="A103" s="455"/>
    </row>
    <row r="104" spans="1:8" x14ac:dyDescent="0.45">
      <c r="A104" s="455"/>
    </row>
    <row r="105" spans="1:8" x14ac:dyDescent="0.45">
      <c r="A105" s="455"/>
    </row>
    <row r="106" spans="1:8" x14ac:dyDescent="0.45">
      <c r="A106" s="455"/>
    </row>
    <row r="107" spans="1:8" x14ac:dyDescent="0.45">
      <c r="A107" s="455"/>
    </row>
    <row r="108" spans="1:8" x14ac:dyDescent="0.45">
      <c r="A108" s="455"/>
    </row>
    <row r="109" spans="1:8" x14ac:dyDescent="0.45">
      <c r="A109" s="455"/>
    </row>
    <row r="110" spans="1:8" x14ac:dyDescent="0.45">
      <c r="A110" s="455"/>
    </row>
    <row r="111" spans="1:8" x14ac:dyDescent="0.45">
      <c r="A111" s="455"/>
    </row>
    <row r="112" spans="1:8" x14ac:dyDescent="0.45">
      <c r="A112" s="455"/>
    </row>
    <row r="113" spans="1:1" x14ac:dyDescent="0.45">
      <c r="A113" s="455"/>
    </row>
    <row r="114" spans="1:1" x14ac:dyDescent="0.45">
      <c r="A114" s="455"/>
    </row>
    <row r="115" spans="1:1" x14ac:dyDescent="0.45">
      <c r="A115" s="455"/>
    </row>
    <row r="116" spans="1:1" x14ac:dyDescent="0.45">
      <c r="A116" s="455"/>
    </row>
    <row r="117" spans="1:1" x14ac:dyDescent="0.45">
      <c r="A117" s="455"/>
    </row>
    <row r="118" spans="1:1" x14ac:dyDescent="0.45">
      <c r="A118" s="455"/>
    </row>
    <row r="119" spans="1:1" x14ac:dyDescent="0.45">
      <c r="A119" s="455"/>
    </row>
    <row r="120" spans="1:1" x14ac:dyDescent="0.45">
      <c r="A120" s="455"/>
    </row>
    <row r="121" spans="1:1" x14ac:dyDescent="0.45">
      <c r="A121" s="455"/>
    </row>
    <row r="122" spans="1:1" x14ac:dyDescent="0.45">
      <c r="A122" s="455"/>
    </row>
    <row r="123" spans="1:1" x14ac:dyDescent="0.45">
      <c r="A123" s="455"/>
    </row>
    <row r="124" spans="1:1" x14ac:dyDescent="0.45">
      <c r="A124" s="455"/>
    </row>
    <row r="125" spans="1:1" x14ac:dyDescent="0.45">
      <c r="A125" s="455"/>
    </row>
    <row r="126" spans="1:1" x14ac:dyDescent="0.45">
      <c r="A126" s="455"/>
    </row>
    <row r="127" spans="1:1" x14ac:dyDescent="0.45">
      <c r="A127" s="455"/>
    </row>
    <row r="128" spans="1:1" x14ac:dyDescent="0.45">
      <c r="A128" s="455"/>
    </row>
    <row r="129" spans="1:1" x14ac:dyDescent="0.45">
      <c r="A129" s="455"/>
    </row>
    <row r="130" spans="1:1" x14ac:dyDescent="0.45">
      <c r="A130" s="455"/>
    </row>
    <row r="131" spans="1:1" x14ac:dyDescent="0.45">
      <c r="A131" s="455"/>
    </row>
    <row r="132" spans="1:1" x14ac:dyDescent="0.45">
      <c r="A132" s="455"/>
    </row>
    <row r="133" spans="1:1" x14ac:dyDescent="0.45">
      <c r="A133" s="455"/>
    </row>
    <row r="134" spans="1:1" x14ac:dyDescent="0.45">
      <c r="A134" s="455"/>
    </row>
    <row r="135" spans="1:1" x14ac:dyDescent="0.45">
      <c r="A135" s="455"/>
    </row>
    <row r="136" spans="1:1" x14ac:dyDescent="0.45">
      <c r="A136" s="455"/>
    </row>
    <row r="137" spans="1:1" x14ac:dyDescent="0.45">
      <c r="A137" s="455"/>
    </row>
    <row r="138" spans="1:1" x14ac:dyDescent="0.45">
      <c r="A138" s="455"/>
    </row>
    <row r="139" spans="1:1" x14ac:dyDescent="0.45">
      <c r="A139" s="455"/>
    </row>
    <row r="140" spans="1:1" x14ac:dyDescent="0.45">
      <c r="A140" s="455"/>
    </row>
    <row r="141" spans="1:1" x14ac:dyDescent="0.45">
      <c r="A141" s="455"/>
    </row>
    <row r="142" spans="1:1" x14ac:dyDescent="0.45">
      <c r="A142" s="455"/>
    </row>
    <row r="143" spans="1:1" x14ac:dyDescent="0.45">
      <c r="A143" s="455"/>
    </row>
    <row r="144" spans="1:1" x14ac:dyDescent="0.45">
      <c r="A144" s="455"/>
    </row>
    <row r="145" spans="1:6" x14ac:dyDescent="0.45">
      <c r="A145" s="455"/>
    </row>
    <row r="146" spans="1:6" x14ac:dyDescent="0.45">
      <c r="A146" s="455"/>
    </row>
    <row r="147" spans="1:6" x14ac:dyDescent="0.45">
      <c r="A147" s="455"/>
    </row>
    <row r="148" spans="1:6" x14ac:dyDescent="0.45">
      <c r="A148" s="455"/>
    </row>
    <row r="149" spans="1:6" x14ac:dyDescent="0.45">
      <c r="A149" s="455"/>
    </row>
    <row r="150" spans="1:6" x14ac:dyDescent="0.45">
      <c r="A150" s="455"/>
    </row>
    <row r="151" spans="1:6" x14ac:dyDescent="0.45">
      <c r="A151" s="455"/>
    </row>
    <row r="152" spans="1:6" x14ac:dyDescent="0.45">
      <c r="A152" s="455"/>
    </row>
    <row r="153" spans="1:6" x14ac:dyDescent="0.45">
      <c r="A153" s="455"/>
      <c r="B153" s="444"/>
      <c r="C153" s="444"/>
      <c r="D153" s="444"/>
      <c r="E153" s="444"/>
      <c r="F153" s="444"/>
    </row>
    <row r="154" spans="1:6" x14ac:dyDescent="0.45">
      <c r="A154" s="455"/>
      <c r="B154" s="444"/>
      <c r="C154" s="444"/>
      <c r="D154" s="444"/>
      <c r="E154" s="444"/>
      <c r="F154" s="444"/>
    </row>
    <row r="159" spans="1:6" x14ac:dyDescent="0.45">
      <c r="A159" s="446"/>
      <c r="B159" s="444"/>
      <c r="C159" s="444"/>
      <c r="D159" s="444"/>
      <c r="E159" s="534"/>
      <c r="F159" s="534"/>
    </row>
  </sheetData>
  <mergeCells count="10">
    <mergeCell ref="B43:G43"/>
    <mergeCell ref="B44:G44"/>
    <mergeCell ref="B2:G2"/>
    <mergeCell ref="B3:G3"/>
    <mergeCell ref="B4:G4"/>
    <mergeCell ref="B5:G5"/>
    <mergeCell ref="B6:G6"/>
    <mergeCell ref="B42:G42"/>
    <mergeCell ref="B40:G40"/>
    <mergeCell ref="B41:G41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Roman,Bold"REVISED</oddHeader>
    <oddFooter>&amp;CPage 5.&amp;P&amp;R&amp;F</oddFooter>
  </headerFooter>
  <rowBreaks count="1" manualBreakCount="1">
    <brk id="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B16C-1314-4E88-9BE7-BAC30119C1C7}">
  <sheetPr>
    <pageSetUpPr fitToPage="1"/>
  </sheetPr>
  <dimension ref="A1:Q41"/>
  <sheetViews>
    <sheetView zoomScale="80" zoomScaleNormal="80" workbookViewId="0"/>
  </sheetViews>
  <sheetFormatPr defaultColWidth="9.1328125" defaultRowHeight="15.4" x14ac:dyDescent="0.45"/>
  <cols>
    <col min="1" max="1" width="5.1328125" style="45" customWidth="1"/>
    <col min="2" max="2" width="12.59765625" style="46" customWidth="1"/>
    <col min="3" max="3" width="20" style="46" customWidth="1"/>
    <col min="4" max="7" width="21.59765625" style="46" customWidth="1"/>
    <col min="8" max="8" width="22.86328125" style="46" bestFit="1" customWidth="1"/>
    <col min="9" max="13" width="21.59765625" style="46" customWidth="1"/>
    <col min="14" max="14" width="5.1328125" style="45" customWidth="1"/>
    <col min="15" max="15" width="13.59765625" style="46" customWidth="1"/>
    <col min="16" max="16" width="12.59765625" style="46" customWidth="1"/>
    <col min="17" max="16384" width="9.1328125" style="46"/>
  </cols>
  <sheetData>
    <row r="1" spans="1:14" x14ac:dyDescent="0.4">
      <c r="I1" s="284"/>
      <c r="M1" s="680"/>
    </row>
    <row r="2" spans="1:14" x14ac:dyDescent="0.45">
      <c r="B2" s="806" t="s">
        <v>24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</row>
    <row r="3" spans="1:14" x14ac:dyDescent="0.4">
      <c r="B3" s="799" t="s">
        <v>274</v>
      </c>
      <c r="C3" s="799"/>
      <c r="D3" s="799"/>
      <c r="E3" s="799"/>
      <c r="F3" s="799"/>
      <c r="G3" s="799"/>
      <c r="H3" s="799"/>
      <c r="I3" s="799"/>
      <c r="J3" s="799"/>
      <c r="K3" s="799"/>
      <c r="L3" s="799"/>
      <c r="M3" s="799"/>
      <c r="N3" s="799"/>
    </row>
    <row r="4" spans="1:14" x14ac:dyDescent="0.4">
      <c r="B4" s="799" t="s">
        <v>330</v>
      </c>
      <c r="C4" s="799"/>
      <c r="D4" s="799"/>
      <c r="E4" s="799"/>
      <c r="F4" s="799"/>
      <c r="G4" s="799"/>
      <c r="H4" s="799"/>
      <c r="I4" s="799"/>
      <c r="J4" s="799"/>
      <c r="K4" s="799"/>
      <c r="L4" s="799"/>
      <c r="M4" s="799"/>
      <c r="N4" s="799"/>
    </row>
    <row r="5" spans="1:14" x14ac:dyDescent="0.4">
      <c r="B5" s="807" t="s">
        <v>562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807"/>
    </row>
    <row r="6" spans="1:14" x14ac:dyDescent="0.45">
      <c r="B6" s="808" t="s">
        <v>1</v>
      </c>
      <c r="C6" s="808"/>
      <c r="D6" s="808"/>
      <c r="E6" s="808"/>
      <c r="F6" s="808"/>
      <c r="G6" s="808"/>
      <c r="H6" s="808"/>
      <c r="I6" s="808"/>
      <c r="J6" s="808"/>
      <c r="K6" s="808"/>
      <c r="L6" s="808"/>
      <c r="M6" s="808"/>
      <c r="N6" s="283"/>
    </row>
    <row r="7" spans="1:14" x14ac:dyDescent="0.45">
      <c r="A7" s="283"/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</row>
    <row r="8" spans="1:14" x14ac:dyDescent="0.45">
      <c r="A8" s="45" t="s">
        <v>2</v>
      </c>
      <c r="B8" s="64"/>
      <c r="E8" s="52"/>
      <c r="F8" s="258"/>
      <c r="G8" s="258"/>
      <c r="N8" s="45" t="s">
        <v>2</v>
      </c>
    </row>
    <row r="9" spans="1:14" x14ac:dyDescent="0.45">
      <c r="A9" s="45" t="s">
        <v>6</v>
      </c>
      <c r="B9" s="64"/>
      <c r="E9" s="52"/>
      <c r="F9" s="258"/>
      <c r="G9" s="258"/>
      <c r="N9" s="45" t="s">
        <v>6</v>
      </c>
    </row>
    <row r="10" spans="1:14" ht="15.75" x14ac:dyDescent="0.5">
      <c r="A10" s="45">
        <v>1</v>
      </c>
      <c r="D10" s="679" t="s">
        <v>16</v>
      </c>
      <c r="E10" s="52"/>
      <c r="I10" s="679" t="s">
        <v>16</v>
      </c>
      <c r="J10" s="535"/>
      <c r="K10" s="679" t="s">
        <v>16</v>
      </c>
      <c r="M10" s="679" t="s">
        <v>16</v>
      </c>
      <c r="N10" s="45">
        <v>1</v>
      </c>
    </row>
    <row r="11" spans="1:14" x14ac:dyDescent="0.45">
      <c r="A11" s="45">
        <f t="shared" ref="A11:A31" si="0">A10+1</f>
        <v>2</v>
      </c>
      <c r="C11" s="536" t="s">
        <v>331</v>
      </c>
      <c r="D11" s="536" t="s">
        <v>332</v>
      </c>
      <c r="E11" s="536" t="s">
        <v>333</v>
      </c>
      <c r="F11" s="536" t="s">
        <v>334</v>
      </c>
      <c r="G11" s="536" t="s">
        <v>335</v>
      </c>
      <c r="H11" s="536" t="s">
        <v>336</v>
      </c>
      <c r="I11" s="536" t="s">
        <v>337</v>
      </c>
      <c r="J11" s="536" t="s">
        <v>338</v>
      </c>
      <c r="K11" s="536" t="s">
        <v>339</v>
      </c>
      <c r="L11" s="536" t="s">
        <v>340</v>
      </c>
      <c r="M11" s="536" t="s">
        <v>341</v>
      </c>
      <c r="N11" s="45">
        <f t="shared" ref="N11:N31" si="1">N10+1</f>
        <v>2</v>
      </c>
    </row>
    <row r="12" spans="1:14" x14ac:dyDescent="0.45">
      <c r="A12" s="45">
        <f t="shared" si="0"/>
        <v>3</v>
      </c>
      <c r="B12" s="52" t="s">
        <v>342</v>
      </c>
      <c r="C12" s="45"/>
      <c r="D12" s="45"/>
      <c r="E12" s="45"/>
      <c r="F12" s="45" t="str">
        <f>"= "&amp;F11&amp;"; Line "&amp;A31&amp;" / 12"</f>
        <v>= Col. 4; Line 22 / 12</v>
      </c>
      <c r="G12" s="45"/>
      <c r="H12" s="80" t="str">
        <f>"= Sum "&amp;E11&amp;" thru "&amp;G11</f>
        <v>= Sum Col. 3 thru Col. 5</v>
      </c>
      <c r="I12" s="80" t="str">
        <f>"= "&amp;D11&amp;" - "&amp;H11</f>
        <v>= Col. 2 - Col. 6</v>
      </c>
      <c r="J12" s="45"/>
      <c r="K12" s="45" t="str">
        <f>"See Footnote "&amp;A40</f>
        <v>See Footnote 6</v>
      </c>
      <c r="L12" s="45" t="str">
        <f>"See Footnote "&amp;A41</f>
        <v>See Footnote 7</v>
      </c>
      <c r="M12" s="80" t="str">
        <f>"= "&amp;K11&amp;" + "&amp;L11</f>
        <v>= Col. 9 + Col. 10</v>
      </c>
      <c r="N12" s="45">
        <f t="shared" si="1"/>
        <v>3</v>
      </c>
    </row>
    <row r="13" spans="1:14" x14ac:dyDescent="0.45">
      <c r="A13" s="45">
        <f t="shared" si="0"/>
        <v>4</v>
      </c>
      <c r="B13" s="52"/>
      <c r="C13" s="45"/>
      <c r="D13" s="45"/>
      <c r="E13" s="45"/>
      <c r="F13" s="45"/>
      <c r="G13" s="45"/>
      <c r="H13" s="80"/>
      <c r="I13" s="80"/>
      <c r="J13" s="45"/>
      <c r="K13" s="45"/>
      <c r="L13" s="45"/>
      <c r="M13" s="80"/>
      <c r="N13" s="45">
        <f t="shared" si="1"/>
        <v>4</v>
      </c>
    </row>
    <row r="14" spans="1:14" x14ac:dyDescent="0.45">
      <c r="A14" s="45">
        <f t="shared" si="0"/>
        <v>5</v>
      </c>
      <c r="C14" s="536"/>
      <c r="H14" s="283"/>
      <c r="K14" s="283" t="s">
        <v>343</v>
      </c>
      <c r="M14" s="283" t="s">
        <v>343</v>
      </c>
      <c r="N14" s="45">
        <f t="shared" si="1"/>
        <v>5</v>
      </c>
    </row>
    <row r="15" spans="1:14" ht="15.75" x14ac:dyDescent="0.5">
      <c r="A15" s="45">
        <f t="shared" si="0"/>
        <v>6</v>
      </c>
      <c r="C15" s="536"/>
      <c r="D15" s="679"/>
      <c r="F15" s="283"/>
      <c r="G15" s="283"/>
      <c r="H15" s="283"/>
      <c r="I15" s="283" t="s">
        <v>344</v>
      </c>
      <c r="J15" s="283"/>
      <c r="K15" s="283" t="s">
        <v>345</v>
      </c>
      <c r="M15" s="283" t="s">
        <v>345</v>
      </c>
      <c r="N15" s="45">
        <f t="shared" si="1"/>
        <v>6</v>
      </c>
    </row>
    <row r="16" spans="1:14" x14ac:dyDescent="0.45">
      <c r="A16" s="45">
        <f t="shared" si="0"/>
        <v>7</v>
      </c>
      <c r="C16" s="283"/>
      <c r="D16" s="283" t="s">
        <v>344</v>
      </c>
      <c r="E16" s="283" t="s">
        <v>344</v>
      </c>
      <c r="F16" s="283" t="s">
        <v>346</v>
      </c>
      <c r="G16" s="283"/>
      <c r="H16" s="283" t="s">
        <v>347</v>
      </c>
      <c r="I16" s="283" t="s">
        <v>345</v>
      </c>
      <c r="J16" s="283" t="s">
        <v>344</v>
      </c>
      <c r="K16" s="283" t="s">
        <v>348</v>
      </c>
      <c r="M16" s="283" t="s">
        <v>348</v>
      </c>
      <c r="N16" s="45">
        <f t="shared" si="1"/>
        <v>7</v>
      </c>
    </row>
    <row r="17" spans="1:17" x14ac:dyDescent="0.45">
      <c r="A17" s="45">
        <f t="shared" si="0"/>
        <v>8</v>
      </c>
      <c r="C17" s="283"/>
      <c r="D17" s="283" t="s">
        <v>349</v>
      </c>
      <c r="E17" s="283" t="s">
        <v>349</v>
      </c>
      <c r="F17" s="283" t="s">
        <v>349</v>
      </c>
      <c r="G17" s="283" t="s">
        <v>350</v>
      </c>
      <c r="H17" s="283" t="s">
        <v>349</v>
      </c>
      <c r="I17" s="283" t="s">
        <v>348</v>
      </c>
      <c r="J17" s="283" t="s">
        <v>351</v>
      </c>
      <c r="K17" s="283" t="s">
        <v>352</v>
      </c>
      <c r="L17" s="283"/>
      <c r="M17" s="283" t="s">
        <v>352</v>
      </c>
      <c r="N17" s="45">
        <f t="shared" si="1"/>
        <v>8</v>
      </c>
    </row>
    <row r="18" spans="1:17" ht="17.25" x14ac:dyDescent="0.45">
      <c r="A18" s="45">
        <f t="shared" si="0"/>
        <v>9</v>
      </c>
      <c r="B18" s="537" t="s">
        <v>353</v>
      </c>
      <c r="C18" s="537" t="s">
        <v>354</v>
      </c>
      <c r="D18" s="258" t="s">
        <v>355</v>
      </c>
      <c r="E18" s="258" t="s">
        <v>356</v>
      </c>
      <c r="F18" s="258" t="s">
        <v>357</v>
      </c>
      <c r="G18" s="258" t="s">
        <v>358</v>
      </c>
      <c r="H18" s="258" t="s">
        <v>359</v>
      </c>
      <c r="I18" s="258" t="s">
        <v>352</v>
      </c>
      <c r="J18" s="258" t="s">
        <v>360</v>
      </c>
      <c r="K18" s="258" t="s">
        <v>361</v>
      </c>
      <c r="L18" s="258" t="s">
        <v>351</v>
      </c>
      <c r="M18" s="258" t="s">
        <v>362</v>
      </c>
      <c r="N18" s="45">
        <f t="shared" si="1"/>
        <v>9</v>
      </c>
    </row>
    <row r="19" spans="1:17" x14ac:dyDescent="0.45">
      <c r="A19" s="45">
        <f t="shared" si="0"/>
        <v>10</v>
      </c>
      <c r="B19" s="220" t="s">
        <v>363</v>
      </c>
      <c r="C19" s="538" t="str">
        <f>RIGHT(B5,4)</f>
        <v>2019</v>
      </c>
      <c r="D19" s="539">
        <v>0</v>
      </c>
      <c r="E19" s="71">
        <v>0</v>
      </c>
      <c r="F19" s="71">
        <v>0</v>
      </c>
      <c r="G19" s="71">
        <v>0</v>
      </c>
      <c r="H19" s="398">
        <f>SUM(E19:G19)</f>
        <v>0</v>
      </c>
      <c r="I19" s="71">
        <f>D19-H19</f>
        <v>0</v>
      </c>
      <c r="J19" s="540">
        <v>4.4000000000000003E-3</v>
      </c>
      <c r="K19" s="541">
        <f>I19</f>
        <v>0</v>
      </c>
      <c r="L19" s="542">
        <f>(I19/2)*J19</f>
        <v>0</v>
      </c>
      <c r="M19" s="542">
        <f t="shared" ref="M19:M30" si="2">K19+L19</f>
        <v>0</v>
      </c>
      <c r="N19" s="45">
        <f t="shared" si="1"/>
        <v>10</v>
      </c>
      <c r="O19" s="44"/>
    </row>
    <row r="20" spans="1:17" x14ac:dyDescent="0.45">
      <c r="A20" s="45">
        <f t="shared" si="0"/>
        <v>11</v>
      </c>
      <c r="B20" s="220" t="s">
        <v>364</v>
      </c>
      <c r="C20" s="538" t="str">
        <f>C19</f>
        <v>2019</v>
      </c>
      <c r="D20" s="42">
        <v>0</v>
      </c>
      <c r="E20" s="240">
        <v>0</v>
      </c>
      <c r="F20" s="240">
        <v>0</v>
      </c>
      <c r="G20" s="240">
        <v>0</v>
      </c>
      <c r="H20" s="313">
        <f>SUM(E20:G20)</f>
        <v>0</v>
      </c>
      <c r="I20" s="240">
        <f t="shared" ref="I20:I30" si="3">D20-H20</f>
        <v>0</v>
      </c>
      <c r="J20" s="540">
        <v>4.0000000000000001E-3</v>
      </c>
      <c r="K20" s="543">
        <f>M19+I20</f>
        <v>0</v>
      </c>
      <c r="L20" s="544">
        <f t="shared" ref="L20:L30" si="4">(M19+K20)/2*J20</f>
        <v>0</v>
      </c>
      <c r="M20" s="544">
        <f t="shared" si="2"/>
        <v>0</v>
      </c>
      <c r="N20" s="45">
        <f t="shared" si="1"/>
        <v>11</v>
      </c>
      <c r="O20" s="257"/>
    </row>
    <row r="21" spans="1:17" x14ac:dyDescent="0.45">
      <c r="A21" s="45">
        <f t="shared" si="0"/>
        <v>12</v>
      </c>
      <c r="B21" s="220" t="s">
        <v>365</v>
      </c>
      <c r="C21" s="538" t="str">
        <f>C19</f>
        <v>2019</v>
      </c>
      <c r="D21" s="42">
        <v>0</v>
      </c>
      <c r="E21" s="240">
        <v>0</v>
      </c>
      <c r="F21" s="240">
        <v>0</v>
      </c>
      <c r="G21" s="240">
        <v>0</v>
      </c>
      <c r="H21" s="313">
        <f t="shared" ref="H21:H29" si="5">SUM(E21:G21)</f>
        <v>0</v>
      </c>
      <c r="I21" s="240">
        <f t="shared" si="3"/>
        <v>0</v>
      </c>
      <c r="J21" s="540">
        <v>4.4000000000000003E-3</v>
      </c>
      <c r="K21" s="543">
        <f t="shared" ref="K21:K30" si="6">M20+I21</f>
        <v>0</v>
      </c>
      <c r="L21" s="544">
        <f>(M20+K21)/2*J21</f>
        <v>0</v>
      </c>
      <c r="M21" s="544">
        <f t="shared" si="2"/>
        <v>0</v>
      </c>
      <c r="N21" s="45">
        <f t="shared" si="1"/>
        <v>12</v>
      </c>
      <c r="O21" s="257"/>
    </row>
    <row r="22" spans="1:17" x14ac:dyDescent="0.45">
      <c r="A22" s="45">
        <f t="shared" si="0"/>
        <v>13</v>
      </c>
      <c r="B22" s="220" t="s">
        <v>366</v>
      </c>
      <c r="C22" s="538" t="str">
        <f>C19</f>
        <v>2019</v>
      </c>
      <c r="D22" s="42">
        <v>0</v>
      </c>
      <c r="E22" s="240">
        <v>0</v>
      </c>
      <c r="F22" s="240">
        <v>0</v>
      </c>
      <c r="G22" s="240">
        <v>0</v>
      </c>
      <c r="H22" s="313">
        <f t="shared" si="5"/>
        <v>0</v>
      </c>
      <c r="I22" s="240">
        <f>D22-H22</f>
        <v>0</v>
      </c>
      <c r="J22" s="540">
        <v>4.4999999999999997E-3</v>
      </c>
      <c r="K22" s="543">
        <f t="shared" si="6"/>
        <v>0</v>
      </c>
      <c r="L22" s="544">
        <f>(M21+K22)/2*J22</f>
        <v>0</v>
      </c>
      <c r="M22" s="544">
        <f t="shared" si="2"/>
        <v>0</v>
      </c>
      <c r="N22" s="45">
        <f t="shared" si="1"/>
        <v>13</v>
      </c>
      <c r="O22" s="257"/>
      <c r="Q22" s="545"/>
    </row>
    <row r="23" spans="1:17" x14ac:dyDescent="0.45">
      <c r="A23" s="45">
        <f t="shared" si="0"/>
        <v>14</v>
      </c>
      <c r="B23" s="220" t="s">
        <v>367</v>
      </c>
      <c r="C23" s="538" t="str">
        <f>C19</f>
        <v>2019</v>
      </c>
      <c r="D23" s="42">
        <v>0</v>
      </c>
      <c r="E23" s="240">
        <v>0</v>
      </c>
      <c r="F23" s="240">
        <v>0</v>
      </c>
      <c r="G23" s="240">
        <v>0</v>
      </c>
      <c r="H23" s="313">
        <f t="shared" si="5"/>
        <v>0</v>
      </c>
      <c r="I23" s="240">
        <f t="shared" si="3"/>
        <v>0</v>
      </c>
      <c r="J23" s="540">
        <v>4.5999999999999999E-3</v>
      </c>
      <c r="K23" s="543">
        <f t="shared" si="6"/>
        <v>0</v>
      </c>
      <c r="L23" s="544">
        <f t="shared" si="4"/>
        <v>0</v>
      </c>
      <c r="M23" s="544">
        <f t="shared" si="2"/>
        <v>0</v>
      </c>
      <c r="N23" s="45">
        <f t="shared" si="1"/>
        <v>14</v>
      </c>
      <c r="O23" s="257"/>
    </row>
    <row r="24" spans="1:17" x14ac:dyDescent="0.45">
      <c r="A24" s="45">
        <f t="shared" si="0"/>
        <v>15</v>
      </c>
      <c r="B24" s="220" t="s">
        <v>368</v>
      </c>
      <c r="C24" s="538" t="str">
        <f>C19</f>
        <v>2019</v>
      </c>
      <c r="D24" s="546">
        <f>'Pg3 Revised Appendix XII C3'!C40</f>
        <v>69.523367442619318</v>
      </c>
      <c r="E24" s="41">
        <v>75.821720569928246</v>
      </c>
      <c r="F24" s="41">
        <v>0</v>
      </c>
      <c r="G24" s="41">
        <v>0</v>
      </c>
      <c r="H24" s="313">
        <f t="shared" si="5"/>
        <v>75.821720569928246</v>
      </c>
      <c r="I24" s="547">
        <f t="shared" si="3"/>
        <v>-6.2983531273089284</v>
      </c>
      <c r="J24" s="540">
        <v>4.4999999999999997E-3</v>
      </c>
      <c r="K24" s="548">
        <f t="shared" si="6"/>
        <v>-6.2983531273089284</v>
      </c>
      <c r="L24" s="544">
        <f>(M23+K24)/2*J24</f>
        <v>-1.4171294536445087E-2</v>
      </c>
      <c r="M24" s="549">
        <f t="shared" si="2"/>
        <v>-6.3125244218453735</v>
      </c>
      <c r="N24" s="45">
        <f t="shared" si="1"/>
        <v>15</v>
      </c>
      <c r="O24" s="257"/>
    </row>
    <row r="25" spans="1:17" x14ac:dyDescent="0.45">
      <c r="A25" s="45">
        <f t="shared" si="0"/>
        <v>16</v>
      </c>
      <c r="B25" s="220" t="s">
        <v>369</v>
      </c>
      <c r="C25" s="538" t="str">
        <f>C19</f>
        <v>2019</v>
      </c>
      <c r="D25" s="550">
        <f>$D$24</f>
        <v>69.523367442619318</v>
      </c>
      <c r="E25" s="240">
        <f>$E$24</f>
        <v>75.821720569928246</v>
      </c>
      <c r="F25" s="240">
        <f>$F$24</f>
        <v>0</v>
      </c>
      <c r="G25" s="240">
        <f>$G$24</f>
        <v>0</v>
      </c>
      <c r="H25" s="313">
        <f t="shared" si="5"/>
        <v>75.821720569928246</v>
      </c>
      <c r="I25" s="547">
        <f t="shared" si="3"/>
        <v>-6.2983531273089284</v>
      </c>
      <c r="J25" s="540">
        <v>4.7000000000000002E-3</v>
      </c>
      <c r="K25" s="548">
        <f t="shared" si="6"/>
        <v>-12.610877549154303</v>
      </c>
      <c r="L25" s="544">
        <f t="shared" si="4"/>
        <v>-4.4469994631849245E-2</v>
      </c>
      <c r="M25" s="549">
        <f t="shared" si="2"/>
        <v>-12.655347543786153</v>
      </c>
      <c r="N25" s="45">
        <f t="shared" si="1"/>
        <v>16</v>
      </c>
      <c r="O25" s="257"/>
    </row>
    <row r="26" spans="1:17" x14ac:dyDescent="0.45">
      <c r="A26" s="45">
        <f t="shared" si="0"/>
        <v>17</v>
      </c>
      <c r="B26" s="220" t="s">
        <v>370</v>
      </c>
      <c r="C26" s="538" t="str">
        <f>C19</f>
        <v>2019</v>
      </c>
      <c r="D26" s="550">
        <f t="shared" ref="D26:D30" si="7">$D$24</f>
        <v>69.523367442619318</v>
      </c>
      <c r="E26" s="240">
        <f t="shared" ref="E26:E30" si="8">$E$24</f>
        <v>75.821720569928246</v>
      </c>
      <c r="F26" s="240">
        <f t="shared" ref="F26:F30" si="9">$F$24</f>
        <v>0</v>
      </c>
      <c r="G26" s="240">
        <f t="shared" ref="G26:G30" si="10">$G$24</f>
        <v>0</v>
      </c>
      <c r="H26" s="313">
        <f t="shared" si="5"/>
        <v>75.821720569928246</v>
      </c>
      <c r="I26" s="547">
        <f t="shared" si="3"/>
        <v>-6.2983531273089284</v>
      </c>
      <c r="J26" s="540">
        <v>4.7000000000000002E-3</v>
      </c>
      <c r="K26" s="548">
        <f t="shared" si="6"/>
        <v>-18.953700671095081</v>
      </c>
      <c r="L26" s="544">
        <f t="shared" si="4"/>
        <v>-7.428126330497091E-2</v>
      </c>
      <c r="M26" s="549">
        <f t="shared" si="2"/>
        <v>-19.027981934400053</v>
      </c>
      <c r="N26" s="45">
        <f t="shared" si="1"/>
        <v>17</v>
      </c>
      <c r="O26" s="257"/>
    </row>
    <row r="27" spans="1:17" x14ac:dyDescent="0.45">
      <c r="A27" s="45">
        <f t="shared" si="0"/>
        <v>18</v>
      </c>
      <c r="B27" s="220" t="s">
        <v>371</v>
      </c>
      <c r="C27" s="538" t="str">
        <f>C19</f>
        <v>2019</v>
      </c>
      <c r="D27" s="550">
        <f t="shared" si="7"/>
        <v>69.523367442619318</v>
      </c>
      <c r="E27" s="240">
        <f t="shared" si="8"/>
        <v>75.821720569928246</v>
      </c>
      <c r="F27" s="240">
        <f t="shared" si="9"/>
        <v>0</v>
      </c>
      <c r="G27" s="240">
        <f t="shared" si="10"/>
        <v>0</v>
      </c>
      <c r="H27" s="313">
        <f t="shared" si="5"/>
        <v>75.821720569928246</v>
      </c>
      <c r="I27" s="547">
        <f t="shared" si="3"/>
        <v>-6.2983531273089284</v>
      </c>
      <c r="J27" s="540">
        <v>4.4999999999999997E-3</v>
      </c>
      <c r="K27" s="548">
        <f t="shared" si="6"/>
        <v>-25.326335061708981</v>
      </c>
      <c r="L27" s="544">
        <f t="shared" si="4"/>
        <v>-9.9797213241245325E-2</v>
      </c>
      <c r="M27" s="549">
        <f t="shared" si="2"/>
        <v>-25.426132274950227</v>
      </c>
      <c r="N27" s="45">
        <f t="shared" si="1"/>
        <v>18</v>
      </c>
      <c r="O27" s="257"/>
    </row>
    <row r="28" spans="1:17" x14ac:dyDescent="0.45">
      <c r="A28" s="45">
        <f t="shared" si="0"/>
        <v>19</v>
      </c>
      <c r="B28" s="220" t="s">
        <v>372</v>
      </c>
      <c r="C28" s="538" t="str">
        <f>C19</f>
        <v>2019</v>
      </c>
      <c r="D28" s="550">
        <f t="shared" si="7"/>
        <v>69.523367442619318</v>
      </c>
      <c r="E28" s="240">
        <f t="shared" si="8"/>
        <v>75.821720569928246</v>
      </c>
      <c r="F28" s="240">
        <f t="shared" si="9"/>
        <v>0</v>
      </c>
      <c r="G28" s="240">
        <f t="shared" si="10"/>
        <v>0</v>
      </c>
      <c r="H28" s="313">
        <f t="shared" si="5"/>
        <v>75.821720569928246</v>
      </c>
      <c r="I28" s="547">
        <f t="shared" si="3"/>
        <v>-6.2983531273089284</v>
      </c>
      <c r="J28" s="540">
        <v>4.5999999999999999E-3</v>
      </c>
      <c r="K28" s="548">
        <f t="shared" si="6"/>
        <v>-31.724485402259155</v>
      </c>
      <c r="L28" s="544">
        <f t="shared" si="4"/>
        <v>-0.13144642065758158</v>
      </c>
      <c r="M28" s="549">
        <f t="shared" si="2"/>
        <v>-31.855931822916737</v>
      </c>
      <c r="N28" s="45">
        <f t="shared" si="1"/>
        <v>19</v>
      </c>
      <c r="O28" s="257"/>
    </row>
    <row r="29" spans="1:17" x14ac:dyDescent="0.45">
      <c r="A29" s="45">
        <f t="shared" si="0"/>
        <v>20</v>
      </c>
      <c r="B29" s="220" t="s">
        <v>373</v>
      </c>
      <c r="C29" s="538" t="str">
        <f>C19</f>
        <v>2019</v>
      </c>
      <c r="D29" s="550">
        <f t="shared" si="7"/>
        <v>69.523367442619318</v>
      </c>
      <c r="E29" s="240">
        <f t="shared" si="8"/>
        <v>75.821720569928246</v>
      </c>
      <c r="F29" s="240">
        <f t="shared" si="9"/>
        <v>0</v>
      </c>
      <c r="G29" s="240">
        <f t="shared" si="10"/>
        <v>0</v>
      </c>
      <c r="H29" s="313">
        <f t="shared" si="5"/>
        <v>75.821720569928246</v>
      </c>
      <c r="I29" s="547">
        <f t="shared" si="3"/>
        <v>-6.2983531273089284</v>
      </c>
      <c r="J29" s="540">
        <v>4.4999999999999997E-3</v>
      </c>
      <c r="K29" s="548">
        <f t="shared" si="6"/>
        <v>-38.154284950225666</v>
      </c>
      <c r="L29" s="544">
        <f t="shared" si="4"/>
        <v>-0.15752298773957041</v>
      </c>
      <c r="M29" s="549">
        <f t="shared" si="2"/>
        <v>-38.311807937965234</v>
      </c>
      <c r="N29" s="45">
        <f t="shared" si="1"/>
        <v>20</v>
      </c>
      <c r="O29" s="257"/>
    </row>
    <row r="30" spans="1:17" x14ac:dyDescent="0.45">
      <c r="A30" s="45">
        <f t="shared" si="0"/>
        <v>21</v>
      </c>
      <c r="B30" s="551" t="s">
        <v>374</v>
      </c>
      <c r="C30" s="552" t="str">
        <f>C19</f>
        <v>2019</v>
      </c>
      <c r="D30" s="550">
        <f t="shared" si="7"/>
        <v>69.523367442619318</v>
      </c>
      <c r="E30" s="240">
        <f t="shared" si="8"/>
        <v>75.821720569928246</v>
      </c>
      <c r="F30" s="553">
        <f t="shared" si="9"/>
        <v>0</v>
      </c>
      <c r="G30" s="240">
        <f t="shared" si="10"/>
        <v>0</v>
      </c>
      <c r="H30" s="554">
        <f>SUM(E30:G30)</f>
        <v>75.821720569928246</v>
      </c>
      <c r="I30" s="555">
        <f t="shared" si="3"/>
        <v>-6.2983531273089284</v>
      </c>
      <c r="J30" s="556">
        <v>4.5999999999999999E-3</v>
      </c>
      <c r="K30" s="557">
        <f t="shared" si="6"/>
        <v>-44.610161065274163</v>
      </c>
      <c r="L30" s="558">
        <f t="shared" si="4"/>
        <v>-0.1907205287074506</v>
      </c>
      <c r="M30" s="559">
        <f t="shared" si="2"/>
        <v>-44.800881593981615</v>
      </c>
      <c r="N30" s="45">
        <f t="shared" si="1"/>
        <v>21</v>
      </c>
      <c r="O30" s="257"/>
    </row>
    <row r="31" spans="1:17" ht="15.75" thickBot="1" x14ac:dyDescent="0.5">
      <c r="A31" s="45">
        <f t="shared" si="0"/>
        <v>22</v>
      </c>
      <c r="D31" s="560">
        <f t="shared" ref="D31:I31" si="11">SUM(D19:D30)</f>
        <v>486.66357209833518</v>
      </c>
      <c r="E31" s="561">
        <f t="shared" si="11"/>
        <v>530.75204398949768</v>
      </c>
      <c r="F31" s="561">
        <f t="shared" si="11"/>
        <v>0</v>
      </c>
      <c r="G31" s="561">
        <f t="shared" si="11"/>
        <v>0</v>
      </c>
      <c r="H31" s="561">
        <f t="shared" si="11"/>
        <v>530.75204398949768</v>
      </c>
      <c r="I31" s="560">
        <f t="shared" si="11"/>
        <v>-44.088471891162499</v>
      </c>
      <c r="J31" s="562"/>
      <c r="K31" s="563"/>
      <c r="L31" s="561">
        <f>SUM(L19:L30)</f>
        <v>-0.71240970281911309</v>
      </c>
      <c r="M31" s="563"/>
      <c r="N31" s="45">
        <f t="shared" si="1"/>
        <v>22</v>
      </c>
    </row>
    <row r="32" spans="1:17" ht="15.75" thickTop="1" x14ac:dyDescent="0.45">
      <c r="D32" s="564"/>
      <c r="E32" s="564"/>
      <c r="F32" s="564"/>
      <c r="G32" s="564"/>
      <c r="H32" s="564"/>
      <c r="I32" s="564"/>
      <c r="J32" s="564"/>
      <c r="K32" s="564"/>
      <c r="L32" s="564"/>
      <c r="M32" s="564"/>
    </row>
    <row r="33" spans="1:7" ht="15.75" x14ac:dyDescent="0.5">
      <c r="A33" s="679" t="s">
        <v>16</v>
      </c>
      <c r="B33" s="25" t="s">
        <v>288</v>
      </c>
      <c r="F33" s="565"/>
      <c r="G33" s="565"/>
    </row>
    <row r="34" spans="1:7" ht="17.25" x14ac:dyDescent="0.45">
      <c r="A34" s="566">
        <v>1</v>
      </c>
      <c r="B34" s="46" t="s">
        <v>631</v>
      </c>
      <c r="F34" s="565"/>
      <c r="G34" s="565"/>
    </row>
    <row r="35" spans="1:7" ht="17.25" x14ac:dyDescent="0.45">
      <c r="A35" s="566">
        <v>2</v>
      </c>
      <c r="B35" s="46" t="s">
        <v>375</v>
      </c>
    </row>
    <row r="36" spans="1:7" ht="17.25" x14ac:dyDescent="0.45">
      <c r="A36" s="566">
        <v>3</v>
      </c>
      <c r="B36" s="46" t="s">
        <v>376</v>
      </c>
    </row>
    <row r="37" spans="1:7" ht="17.25" x14ac:dyDescent="0.45">
      <c r="A37" s="566">
        <v>4</v>
      </c>
      <c r="B37" s="46" t="s">
        <v>377</v>
      </c>
    </row>
    <row r="38" spans="1:7" ht="17.25" x14ac:dyDescent="0.45">
      <c r="A38" s="566"/>
      <c r="B38" s="46" t="s">
        <v>378</v>
      </c>
    </row>
    <row r="39" spans="1:7" ht="17.25" x14ac:dyDescent="0.45">
      <c r="A39" s="566">
        <v>5</v>
      </c>
      <c r="B39" s="46" t="s">
        <v>379</v>
      </c>
      <c r="C39" s="284"/>
    </row>
    <row r="40" spans="1:7" ht="17.25" x14ac:dyDescent="0.45">
      <c r="A40" s="566">
        <v>6</v>
      </c>
      <c r="B40" s="46" t="s">
        <v>380</v>
      </c>
    </row>
    <row r="41" spans="1:7" ht="17.25" x14ac:dyDescent="0.45">
      <c r="A41" s="566">
        <v>7</v>
      </c>
      <c r="B41" s="46" t="s">
        <v>381</v>
      </c>
    </row>
  </sheetData>
  <mergeCells count="5">
    <mergeCell ref="B2:N2"/>
    <mergeCell ref="B3:N3"/>
    <mergeCell ref="B4:N4"/>
    <mergeCell ref="B5:N5"/>
    <mergeCell ref="B6:M6"/>
  </mergeCells>
  <printOptions horizontalCentered="1"/>
  <pageMargins left="0.25" right="0.25" top="0.5" bottom="0.5" header="0.4" footer="0.25"/>
  <pageSetup scale="51" orientation="landscape" r:id="rId1"/>
  <headerFooter scaleWithDoc="0" alignWithMargins="0">
    <oddHeader>&amp;C&amp;"Times New Roman,Bold"&amp;10REVISED</oddHeader>
    <oddFooter>&amp;CPage 6&amp;R&amp;F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A4F7-766E-4261-B175-6DD1BC527839}">
  <sheetPr>
    <pageSetUpPr fitToPage="1"/>
  </sheetPr>
  <dimension ref="A1:J74"/>
  <sheetViews>
    <sheetView zoomScale="80" zoomScaleNormal="80" workbookViewId="0"/>
  </sheetViews>
  <sheetFormatPr defaultColWidth="8.86328125" defaultRowHeight="15.4" x14ac:dyDescent="0.45"/>
  <cols>
    <col min="1" max="1" width="5.1328125" style="45" bestFit="1" customWidth="1"/>
    <col min="2" max="2" width="80.59765625" style="46" customWidth="1"/>
    <col min="3" max="3" width="21.1328125" style="46" customWidth="1"/>
    <col min="4" max="4" width="1.59765625" style="46" customWidth="1"/>
    <col min="5" max="5" width="16.86328125" style="46" customWidth="1"/>
    <col min="6" max="6" width="1.59765625" style="46" customWidth="1"/>
    <col min="7" max="7" width="53.86328125" style="46" customWidth="1"/>
    <col min="8" max="8" width="5.1328125" style="46" customWidth="1"/>
    <col min="9" max="9" width="8.86328125" style="46"/>
    <col min="10" max="10" width="20.3984375" style="46" bestFit="1" customWidth="1"/>
    <col min="11" max="16384" width="8.86328125" style="46"/>
  </cols>
  <sheetData>
    <row r="1" spans="1:8" x14ac:dyDescent="0.45">
      <c r="G1" s="47"/>
      <c r="H1" s="45"/>
    </row>
    <row r="2" spans="1:8" x14ac:dyDescent="0.45">
      <c r="B2" s="806" t="s">
        <v>24</v>
      </c>
      <c r="C2" s="806"/>
      <c r="D2" s="806"/>
      <c r="E2" s="806"/>
      <c r="F2" s="806"/>
      <c r="G2" s="806"/>
      <c r="H2" s="45"/>
    </row>
    <row r="3" spans="1:8" x14ac:dyDescent="0.45">
      <c r="B3" s="806" t="s">
        <v>25</v>
      </c>
      <c r="C3" s="806"/>
      <c r="D3" s="806"/>
      <c r="E3" s="806"/>
      <c r="F3" s="806"/>
      <c r="G3" s="806"/>
      <c r="H3" s="45"/>
    </row>
    <row r="4" spans="1:8" x14ac:dyDescent="0.45">
      <c r="B4" s="806" t="s">
        <v>26</v>
      </c>
      <c r="C4" s="806"/>
      <c r="D4" s="806"/>
      <c r="E4" s="806"/>
      <c r="F4" s="806"/>
      <c r="G4" s="806"/>
      <c r="H4" s="45"/>
    </row>
    <row r="5" spans="1:8" x14ac:dyDescent="0.45">
      <c r="B5" s="809" t="s">
        <v>537</v>
      </c>
      <c r="C5" s="809"/>
      <c r="D5" s="809"/>
      <c r="E5" s="809"/>
      <c r="F5" s="809"/>
      <c r="G5" s="809"/>
      <c r="H5" s="45"/>
    </row>
    <row r="6" spans="1:8" x14ac:dyDescent="0.45">
      <c r="B6" s="808" t="s">
        <v>1</v>
      </c>
      <c r="C6" s="810"/>
      <c r="D6" s="810"/>
      <c r="E6" s="810"/>
      <c r="F6" s="810"/>
      <c r="G6" s="810"/>
      <c r="H6" s="45"/>
    </row>
    <row r="7" spans="1:8" x14ac:dyDescent="0.45">
      <c r="B7" s="45"/>
      <c r="C7" s="45"/>
      <c r="D7" s="45"/>
      <c r="E7" s="48"/>
      <c r="F7" s="48"/>
      <c r="G7" s="45"/>
      <c r="H7" s="45"/>
    </row>
    <row r="8" spans="1:8" x14ac:dyDescent="0.45">
      <c r="A8" s="45" t="s">
        <v>2</v>
      </c>
      <c r="B8" s="684"/>
      <c r="C8" s="45" t="s">
        <v>27</v>
      </c>
      <c r="D8" s="684"/>
      <c r="E8" s="49"/>
      <c r="F8" s="49"/>
      <c r="G8" s="45"/>
      <c r="H8" s="45" t="s">
        <v>2</v>
      </c>
    </row>
    <row r="9" spans="1:8" x14ac:dyDescent="0.45">
      <c r="A9" s="45" t="s">
        <v>6</v>
      </c>
      <c r="C9" s="567" t="s">
        <v>28</v>
      </c>
      <c r="D9" s="684"/>
      <c r="E9" s="568" t="s">
        <v>4</v>
      </c>
      <c r="F9" s="49"/>
      <c r="G9" s="567" t="s">
        <v>5</v>
      </c>
      <c r="H9" s="45" t="s">
        <v>6</v>
      </c>
    </row>
    <row r="10" spans="1:8" x14ac:dyDescent="0.45">
      <c r="C10" s="684"/>
      <c r="D10" s="684"/>
      <c r="E10" s="49"/>
      <c r="F10" s="49"/>
      <c r="G10" s="45"/>
      <c r="H10" s="45"/>
    </row>
    <row r="11" spans="1:8" x14ac:dyDescent="0.45">
      <c r="A11" s="45">
        <v>1</v>
      </c>
      <c r="B11" s="569" t="s">
        <v>382</v>
      </c>
      <c r="C11" s="684"/>
      <c r="D11" s="684"/>
      <c r="E11" s="49"/>
      <c r="F11" s="49"/>
      <c r="G11" s="45"/>
      <c r="H11" s="45">
        <f>A11</f>
        <v>1</v>
      </c>
    </row>
    <row r="12" spans="1:8" x14ac:dyDescent="0.45">
      <c r="A12" s="45">
        <f>+A11+1</f>
        <v>2</v>
      </c>
      <c r="B12" s="570" t="s">
        <v>383</v>
      </c>
      <c r="C12" s="684"/>
      <c r="D12" s="684"/>
      <c r="E12" s="51">
        <v>0</v>
      </c>
      <c r="F12" s="49"/>
      <c r="G12" s="45" t="s">
        <v>563</v>
      </c>
      <c r="H12" s="45">
        <f>H11+1</f>
        <v>2</v>
      </c>
    </row>
    <row r="13" spans="1:8" x14ac:dyDescent="0.45">
      <c r="A13" s="45">
        <f t="shared" ref="A13:A70" si="0">+A12+1</f>
        <v>3</v>
      </c>
      <c r="C13" s="684"/>
      <c r="D13" s="684"/>
      <c r="E13" s="49"/>
      <c r="F13" s="49"/>
      <c r="G13" s="45"/>
      <c r="H13" s="45">
        <f t="shared" ref="H13:H70" si="1">H12+1</f>
        <v>3</v>
      </c>
    </row>
    <row r="14" spans="1:8" x14ac:dyDescent="0.45">
      <c r="A14" s="45">
        <f t="shared" si="0"/>
        <v>4</v>
      </c>
      <c r="B14" s="569" t="s">
        <v>384</v>
      </c>
      <c r="G14" s="45"/>
      <c r="H14" s="45">
        <f t="shared" si="1"/>
        <v>4</v>
      </c>
    </row>
    <row r="15" spans="1:8" x14ac:dyDescent="0.45">
      <c r="A15" s="45">
        <f t="shared" si="0"/>
        <v>5</v>
      </c>
      <c r="B15" s="20" t="s">
        <v>385</v>
      </c>
      <c r="C15" s="45"/>
      <c r="E15" s="51">
        <f>'Pg7.1 Revised AH-2'!D47</f>
        <v>96482.821710000004</v>
      </c>
      <c r="G15" s="45" t="s">
        <v>564</v>
      </c>
      <c r="H15" s="45">
        <f t="shared" si="1"/>
        <v>5</v>
      </c>
    </row>
    <row r="16" spans="1:8" x14ac:dyDescent="0.45">
      <c r="A16" s="45">
        <f t="shared" si="0"/>
        <v>6</v>
      </c>
      <c r="B16" s="27" t="s">
        <v>29</v>
      </c>
      <c r="E16" s="53"/>
      <c r="G16" s="45"/>
      <c r="H16" s="45">
        <f t="shared" si="1"/>
        <v>6</v>
      </c>
    </row>
    <row r="17" spans="1:8" x14ac:dyDescent="0.45">
      <c r="A17" s="45">
        <f t="shared" si="0"/>
        <v>7</v>
      </c>
      <c r="B17" s="20" t="s">
        <v>386</v>
      </c>
      <c r="C17" s="45"/>
      <c r="E17" s="54">
        <f>-'Pg7.1 Revised AH-2'!E52</f>
        <v>-5093.2442599999995</v>
      </c>
      <c r="G17" s="45" t="s">
        <v>565</v>
      </c>
      <c r="H17" s="45">
        <f t="shared" si="1"/>
        <v>7</v>
      </c>
    </row>
    <row r="18" spans="1:8" x14ac:dyDescent="0.45">
      <c r="A18" s="45">
        <f t="shared" si="0"/>
        <v>8</v>
      </c>
      <c r="B18" s="20" t="s">
        <v>387</v>
      </c>
      <c r="E18" s="54">
        <f>-'Pg7.1 Revised AH-2'!E53</f>
        <v>-2418.7412800000002</v>
      </c>
      <c r="G18" s="45" t="s">
        <v>566</v>
      </c>
      <c r="H18" s="45">
        <f t="shared" si="1"/>
        <v>8</v>
      </c>
    </row>
    <row r="19" spans="1:8" x14ac:dyDescent="0.45">
      <c r="A19" s="45">
        <f t="shared" si="0"/>
        <v>9</v>
      </c>
      <c r="B19" s="570" t="s">
        <v>388</v>
      </c>
      <c r="E19" s="54">
        <f>-'Pg7.1 Revised AH-2'!E54</f>
        <v>-6283.7089999999998</v>
      </c>
      <c r="G19" s="45" t="s">
        <v>567</v>
      </c>
      <c r="H19" s="45">
        <f t="shared" si="1"/>
        <v>9</v>
      </c>
    </row>
    <row r="20" spans="1:8" x14ac:dyDescent="0.45">
      <c r="A20" s="45">
        <f t="shared" si="0"/>
        <v>10</v>
      </c>
      <c r="B20" s="570" t="s">
        <v>389</v>
      </c>
      <c r="E20" s="54">
        <f>-'Pg7.1 Revised AH-2'!E55</f>
        <v>-8316.0300000000007</v>
      </c>
      <c r="G20" s="45" t="s">
        <v>568</v>
      </c>
      <c r="H20" s="45">
        <f t="shared" si="1"/>
        <v>10</v>
      </c>
    </row>
    <row r="21" spans="1:8" x14ac:dyDescent="0.45">
      <c r="A21" s="45">
        <f t="shared" si="0"/>
        <v>11</v>
      </c>
      <c r="B21" s="20" t="s">
        <v>390</v>
      </c>
      <c r="E21" s="54">
        <f>-'Pg7.1 Revised AH-2'!E56</f>
        <v>0</v>
      </c>
      <c r="G21" s="45" t="s">
        <v>569</v>
      </c>
      <c r="H21" s="45">
        <f t="shared" si="1"/>
        <v>11</v>
      </c>
    </row>
    <row r="22" spans="1:8" x14ac:dyDescent="0.45">
      <c r="A22" s="45">
        <f t="shared" si="0"/>
        <v>12</v>
      </c>
      <c r="B22" s="20" t="s">
        <v>391</v>
      </c>
      <c r="E22" s="54">
        <f>-'Pg7.1 Revised AH-2'!E62</f>
        <v>-3186.0456599999998</v>
      </c>
      <c r="G22" s="45" t="s">
        <v>570</v>
      </c>
      <c r="H22" s="45">
        <f t="shared" si="1"/>
        <v>12</v>
      </c>
    </row>
    <row r="23" spans="1:8" x14ac:dyDescent="0.45">
      <c r="A23" s="45">
        <f t="shared" si="0"/>
        <v>13</v>
      </c>
      <c r="B23" s="570" t="s">
        <v>392</v>
      </c>
      <c r="E23" s="54">
        <f>-'Pg7.1 Revised AH-2'!E63</f>
        <v>-16048.173000000001</v>
      </c>
      <c r="G23" s="45" t="s">
        <v>571</v>
      </c>
      <c r="H23" s="45">
        <f t="shared" si="1"/>
        <v>13</v>
      </c>
    </row>
    <row r="24" spans="1:8" x14ac:dyDescent="0.45">
      <c r="A24" s="45">
        <f t="shared" si="0"/>
        <v>14</v>
      </c>
      <c r="B24" s="570" t="s">
        <v>393</v>
      </c>
      <c r="E24" s="54">
        <f>-'Pg7.1 Revised AH-2'!E64</f>
        <v>-18139.88</v>
      </c>
      <c r="G24" s="45" t="s">
        <v>572</v>
      </c>
      <c r="H24" s="45">
        <f t="shared" si="1"/>
        <v>14</v>
      </c>
    </row>
    <row r="25" spans="1:8" x14ac:dyDescent="0.45">
      <c r="A25" s="45">
        <f t="shared" si="0"/>
        <v>15</v>
      </c>
      <c r="B25" s="570" t="s">
        <v>394</v>
      </c>
      <c r="E25" s="54">
        <f>-'Pg7.1 Revised AH-2'!E65</f>
        <v>-720.00900000000001</v>
      </c>
      <c r="G25" s="45" t="s">
        <v>573</v>
      </c>
      <c r="H25" s="45">
        <f t="shared" si="1"/>
        <v>15</v>
      </c>
    </row>
    <row r="26" spans="1:8" x14ac:dyDescent="0.45">
      <c r="A26" s="45">
        <f t="shared" si="0"/>
        <v>16</v>
      </c>
      <c r="B26" s="20" t="s">
        <v>395</v>
      </c>
      <c r="E26" s="55">
        <f>-'Pg7.1 Revised AH-2'!E51</f>
        <v>-132.11562000000001</v>
      </c>
      <c r="G26" s="45" t="s">
        <v>396</v>
      </c>
      <c r="H26" s="45">
        <f t="shared" si="1"/>
        <v>16</v>
      </c>
    </row>
    <row r="27" spans="1:8" ht="15.75" x14ac:dyDescent="0.5">
      <c r="A27" s="45">
        <f t="shared" si="0"/>
        <v>17</v>
      </c>
      <c r="B27" s="46" t="s">
        <v>397</v>
      </c>
      <c r="E27" s="571">
        <f>'Pg7.1 Revised AH-2'!H47</f>
        <v>-2294.73</v>
      </c>
      <c r="F27" s="28" t="s">
        <v>16</v>
      </c>
      <c r="G27" s="45" t="s">
        <v>398</v>
      </c>
      <c r="H27" s="45">
        <f t="shared" si="1"/>
        <v>17</v>
      </c>
    </row>
    <row r="28" spans="1:8" ht="15.75" x14ac:dyDescent="0.5">
      <c r="A28" s="45">
        <f t="shared" si="0"/>
        <v>18</v>
      </c>
      <c r="B28" s="20" t="s">
        <v>399</v>
      </c>
      <c r="E28" s="56">
        <f>SUM(E15:E27)</f>
        <v>33850.143890000007</v>
      </c>
      <c r="F28" s="28" t="s">
        <v>16</v>
      </c>
      <c r="G28" s="39" t="s">
        <v>574</v>
      </c>
      <c r="H28" s="45">
        <f t="shared" si="1"/>
        <v>18</v>
      </c>
    </row>
    <row r="29" spans="1:8" x14ac:dyDescent="0.45">
      <c r="A29" s="45">
        <f t="shared" si="0"/>
        <v>19</v>
      </c>
      <c r="E29" s="44"/>
      <c r="H29" s="45">
        <f t="shared" si="1"/>
        <v>19</v>
      </c>
    </row>
    <row r="30" spans="1:8" x14ac:dyDescent="0.45">
      <c r="A30" s="45">
        <f t="shared" si="0"/>
        <v>20</v>
      </c>
      <c r="B30" s="572" t="s">
        <v>400</v>
      </c>
      <c r="E30" s="57"/>
      <c r="G30" s="45"/>
      <c r="H30" s="45">
        <f t="shared" si="1"/>
        <v>20</v>
      </c>
    </row>
    <row r="31" spans="1:8" x14ac:dyDescent="0.45">
      <c r="A31" s="45">
        <f t="shared" si="0"/>
        <v>21</v>
      </c>
      <c r="B31" s="27" t="s">
        <v>401</v>
      </c>
      <c r="C31" s="45"/>
      <c r="E31" s="51">
        <f>'Pg7.2 Revised AH-3'!D31</f>
        <v>498407.32565000001</v>
      </c>
      <c r="G31" s="45" t="s">
        <v>575</v>
      </c>
      <c r="H31" s="45">
        <f t="shared" si="1"/>
        <v>21</v>
      </c>
    </row>
    <row r="32" spans="1:8" x14ac:dyDescent="0.45">
      <c r="A32" s="45">
        <f t="shared" si="0"/>
        <v>22</v>
      </c>
      <c r="B32" s="27" t="s">
        <v>30</v>
      </c>
      <c r="E32" s="57" t="s">
        <v>11</v>
      </c>
      <c r="G32" s="45"/>
      <c r="H32" s="45">
        <f t="shared" si="1"/>
        <v>22</v>
      </c>
    </row>
    <row r="33" spans="1:10" x14ac:dyDescent="0.45">
      <c r="A33" s="45">
        <f t="shared" si="0"/>
        <v>23</v>
      </c>
      <c r="B33" s="52" t="s">
        <v>31</v>
      </c>
      <c r="E33" s="54">
        <f>-'Pg7.2 Revised AH-3'!D52</f>
        <v>-576.97162999999989</v>
      </c>
      <c r="G33" s="45" t="s">
        <v>404</v>
      </c>
      <c r="H33" s="45">
        <f t="shared" si="1"/>
        <v>23</v>
      </c>
      <c r="I33" s="573"/>
      <c r="J33" s="59"/>
    </row>
    <row r="34" spans="1:10" ht="30.75" x14ac:dyDescent="0.45">
      <c r="A34" s="45">
        <f t="shared" si="0"/>
        <v>24</v>
      </c>
      <c r="B34" s="52" t="s">
        <v>32</v>
      </c>
      <c r="E34" s="54">
        <f>-('Pg7.2 Revised AH-3'!E35+'Pg7.2 Revised AH-3'!E36+'Pg7.2 Revised AH-3'!D38+'Pg7.2 Revised AH-3'!D39+'Pg7.2 Revised AH-3'!D42+'Pg7.2 Revised AH-3'!D45+'Pg7.2 Revised AH-3'!D51+'Pg7.2 Revised AH-3'!D54)</f>
        <v>-2631.6195512479999</v>
      </c>
      <c r="G34" s="58" t="s">
        <v>502</v>
      </c>
      <c r="H34" s="45">
        <f t="shared" si="1"/>
        <v>24</v>
      </c>
      <c r="I34" s="573"/>
      <c r="J34" s="59"/>
    </row>
    <row r="35" spans="1:10" x14ac:dyDescent="0.45">
      <c r="A35" s="45">
        <f t="shared" si="0"/>
        <v>25</v>
      </c>
      <c r="B35" s="52" t="s">
        <v>178</v>
      </c>
      <c r="E35" s="54">
        <f>-'Pg7.2 Revised AH-3'!D46</f>
        <v>0</v>
      </c>
      <c r="G35" s="45" t="s">
        <v>402</v>
      </c>
      <c r="H35" s="45">
        <f t="shared" si="1"/>
        <v>25</v>
      </c>
    </row>
    <row r="36" spans="1:10" x14ac:dyDescent="0.45">
      <c r="A36" s="45">
        <f t="shared" si="0"/>
        <v>26</v>
      </c>
      <c r="B36" s="52" t="s">
        <v>33</v>
      </c>
      <c r="E36" s="54">
        <f>-'Pg7.2 Revised AH-3'!D47</f>
        <v>-1212.49029</v>
      </c>
      <c r="G36" s="45" t="s">
        <v>403</v>
      </c>
      <c r="H36" s="45">
        <f t="shared" si="1"/>
        <v>26</v>
      </c>
      <c r="J36" s="59"/>
    </row>
    <row r="37" spans="1:10" x14ac:dyDescent="0.45">
      <c r="A37" s="45">
        <f t="shared" si="0"/>
        <v>27</v>
      </c>
      <c r="B37" s="52" t="s">
        <v>34</v>
      </c>
      <c r="E37" s="54">
        <f>-'Pg7.2 Revised AH-3'!D48</f>
        <v>-9790.5481500000005</v>
      </c>
      <c r="G37" s="45" t="s">
        <v>503</v>
      </c>
      <c r="H37" s="45">
        <f t="shared" si="1"/>
        <v>27</v>
      </c>
      <c r="J37" s="59"/>
    </row>
    <row r="38" spans="1:10" x14ac:dyDescent="0.45">
      <c r="A38" s="45">
        <f t="shared" si="0"/>
        <v>28</v>
      </c>
      <c r="B38" s="52" t="s">
        <v>35</v>
      </c>
      <c r="E38" s="54">
        <f>-'Pg7.2 Revised AH-3'!D40</f>
        <v>0</v>
      </c>
      <c r="G38" s="58" t="s">
        <v>504</v>
      </c>
      <c r="H38" s="45">
        <f t="shared" si="1"/>
        <v>28</v>
      </c>
      <c r="J38" s="59"/>
    </row>
    <row r="39" spans="1:10" x14ac:dyDescent="0.45">
      <c r="A39" s="45">
        <f t="shared" si="0"/>
        <v>29</v>
      </c>
      <c r="B39" s="52" t="s">
        <v>36</v>
      </c>
      <c r="E39" s="54">
        <f>-'Pg7.2 Revised AH-3'!E50</f>
        <v>-112.52861999999999</v>
      </c>
      <c r="G39" s="58" t="s">
        <v>505</v>
      </c>
      <c r="H39" s="45">
        <f t="shared" si="1"/>
        <v>29</v>
      </c>
      <c r="I39" s="573"/>
    </row>
    <row r="40" spans="1:10" x14ac:dyDescent="0.45">
      <c r="A40" s="45">
        <f t="shared" si="0"/>
        <v>30</v>
      </c>
      <c r="B40" s="52" t="s">
        <v>37</v>
      </c>
      <c r="E40" s="54">
        <f>-'Pg7.2 Revised AH-3'!E44</f>
        <v>-127615.79129000001</v>
      </c>
      <c r="G40" s="45" t="s">
        <v>506</v>
      </c>
      <c r="H40" s="45">
        <f t="shared" si="1"/>
        <v>30</v>
      </c>
      <c r="I40" s="573"/>
      <c r="J40" s="59"/>
    </row>
    <row r="41" spans="1:10" x14ac:dyDescent="0.45">
      <c r="A41" s="45">
        <f t="shared" si="0"/>
        <v>31</v>
      </c>
      <c r="B41" s="52" t="s">
        <v>38</v>
      </c>
      <c r="E41" s="54">
        <f>-'Pg7.2 Revised AH-3'!D53</f>
        <v>-39.414587415</v>
      </c>
      <c r="G41" s="58" t="s">
        <v>507</v>
      </c>
      <c r="H41" s="45">
        <f t="shared" si="1"/>
        <v>31</v>
      </c>
    </row>
    <row r="42" spans="1:10" x14ac:dyDescent="0.45">
      <c r="A42" s="45">
        <f t="shared" si="0"/>
        <v>32</v>
      </c>
      <c r="B42" s="52" t="s">
        <v>39</v>
      </c>
      <c r="E42" s="54">
        <f>-('Pg7.2 Revised AH-3'!D37+'Pg7.2 Revised AH-3'!D49)</f>
        <v>-205.81998999999999</v>
      </c>
      <c r="G42" s="58" t="s">
        <v>508</v>
      </c>
      <c r="H42" s="45">
        <f t="shared" si="1"/>
        <v>32</v>
      </c>
    </row>
    <row r="43" spans="1:10" x14ac:dyDescent="0.45">
      <c r="A43" s="45">
        <f t="shared" si="0"/>
        <v>33</v>
      </c>
      <c r="B43" s="52" t="s">
        <v>40</v>
      </c>
      <c r="E43" s="54">
        <f>-('Pg7.2 Revised AH-3'!D41+'Pg7.2 Revised AH-3'!D43)</f>
        <v>-250.33335</v>
      </c>
      <c r="G43" s="58" t="s">
        <v>509</v>
      </c>
      <c r="H43" s="45">
        <f t="shared" si="1"/>
        <v>33</v>
      </c>
    </row>
    <row r="44" spans="1:10" ht="15.75" x14ac:dyDescent="0.5">
      <c r="A44" s="45">
        <f t="shared" si="0"/>
        <v>34</v>
      </c>
      <c r="B44" s="46" t="s">
        <v>397</v>
      </c>
      <c r="E44" s="574">
        <f>'Pg7.2 Revised AH-3'!H31</f>
        <v>-1040.0990000000002</v>
      </c>
      <c r="F44" s="28" t="s">
        <v>16</v>
      </c>
      <c r="G44" s="45" t="s">
        <v>510</v>
      </c>
      <c r="H44" s="45">
        <f t="shared" si="1"/>
        <v>34</v>
      </c>
    </row>
    <row r="45" spans="1:10" ht="15.75" x14ac:dyDescent="0.5">
      <c r="A45" s="45">
        <f t="shared" si="0"/>
        <v>35</v>
      </c>
      <c r="B45" s="27" t="s">
        <v>405</v>
      </c>
      <c r="E45" s="61">
        <f>SUM(E31:E44)</f>
        <v>354931.70919133711</v>
      </c>
      <c r="F45" s="28" t="s">
        <v>16</v>
      </c>
      <c r="G45" s="45" t="s">
        <v>576</v>
      </c>
      <c r="H45" s="45">
        <f t="shared" si="1"/>
        <v>35</v>
      </c>
    </row>
    <row r="46" spans="1:10" x14ac:dyDescent="0.45">
      <c r="A46" s="45">
        <f t="shared" si="0"/>
        <v>36</v>
      </c>
      <c r="B46" s="27" t="s">
        <v>41</v>
      </c>
      <c r="E46" s="575">
        <f>-'Pg7.2 Revised AH-3'!F16</f>
        <v>-8305.6217899999992</v>
      </c>
      <c r="G46" s="45" t="s">
        <v>577</v>
      </c>
      <c r="H46" s="45">
        <f t="shared" si="1"/>
        <v>36</v>
      </c>
    </row>
    <row r="47" spans="1:10" ht="15.75" x14ac:dyDescent="0.5">
      <c r="A47" s="45">
        <f t="shared" si="0"/>
        <v>37</v>
      </c>
      <c r="B47" s="27" t="s">
        <v>406</v>
      </c>
      <c r="E47" s="61">
        <f>SUM(E45:E46)</f>
        <v>346626.08740133711</v>
      </c>
      <c r="F47" s="28" t="s">
        <v>16</v>
      </c>
      <c r="G47" s="45" t="s">
        <v>578</v>
      </c>
      <c r="H47" s="45">
        <f t="shared" si="1"/>
        <v>37</v>
      </c>
    </row>
    <row r="48" spans="1:10" x14ac:dyDescent="0.45">
      <c r="A48" s="45">
        <f t="shared" si="0"/>
        <v>38</v>
      </c>
      <c r="B48" s="20" t="s">
        <v>42</v>
      </c>
      <c r="E48" s="576">
        <v>0.10143191236945187</v>
      </c>
      <c r="G48" s="39" t="s">
        <v>579</v>
      </c>
      <c r="H48" s="45">
        <f t="shared" si="1"/>
        <v>38</v>
      </c>
    </row>
    <row r="49" spans="1:9" ht="15.75" x14ac:dyDescent="0.5">
      <c r="A49" s="45">
        <f t="shared" si="0"/>
        <v>39</v>
      </c>
      <c r="B49" s="27" t="s">
        <v>407</v>
      </c>
      <c r="E49" s="62">
        <f>E47*E48</f>
        <v>35158.946922258394</v>
      </c>
      <c r="F49" s="28" t="s">
        <v>16</v>
      </c>
      <c r="G49" s="45" t="s">
        <v>580</v>
      </c>
      <c r="H49" s="45">
        <f t="shared" si="1"/>
        <v>39</v>
      </c>
    </row>
    <row r="50" spans="1:9" x14ac:dyDescent="0.45">
      <c r="A50" s="45">
        <f t="shared" si="0"/>
        <v>40</v>
      </c>
      <c r="B50" s="46" t="s">
        <v>43</v>
      </c>
      <c r="E50" s="577">
        <f>E70*(-E46)</f>
        <v>3307.281683578949</v>
      </c>
      <c r="G50" s="45" t="s">
        <v>581</v>
      </c>
      <c r="H50" s="45">
        <f t="shared" si="1"/>
        <v>40</v>
      </c>
    </row>
    <row r="51" spans="1:9" ht="16.149999999999999" thickBot="1" x14ac:dyDescent="0.55000000000000004">
      <c r="A51" s="45">
        <f t="shared" si="0"/>
        <v>41</v>
      </c>
      <c r="B51" s="52" t="s">
        <v>408</v>
      </c>
      <c r="E51" s="578">
        <f>E50+E49</f>
        <v>38466.228605837343</v>
      </c>
      <c r="F51" s="28" t="s">
        <v>16</v>
      </c>
      <c r="G51" s="45" t="s">
        <v>582</v>
      </c>
      <c r="H51" s="45">
        <f t="shared" si="1"/>
        <v>41</v>
      </c>
      <c r="I51" s="52"/>
    </row>
    <row r="52" spans="1:9" ht="15.75" thickTop="1" x14ac:dyDescent="0.45">
      <c r="A52" s="45">
        <f t="shared" si="0"/>
        <v>42</v>
      </c>
      <c r="B52" s="64"/>
      <c r="E52" s="65"/>
      <c r="G52" s="45"/>
      <c r="H52" s="45">
        <f t="shared" si="1"/>
        <v>42</v>
      </c>
    </row>
    <row r="53" spans="1:9" x14ac:dyDescent="0.45">
      <c r="A53" s="45">
        <f t="shared" si="0"/>
        <v>43</v>
      </c>
      <c r="B53" s="31" t="s">
        <v>44</v>
      </c>
      <c r="E53" s="66"/>
      <c r="G53" s="45"/>
      <c r="H53" s="45">
        <f t="shared" si="1"/>
        <v>43</v>
      </c>
    </row>
    <row r="54" spans="1:9" x14ac:dyDescent="0.45">
      <c r="A54" s="45">
        <f t="shared" si="0"/>
        <v>44</v>
      </c>
      <c r="B54" s="27" t="s">
        <v>45</v>
      </c>
      <c r="E54" s="40">
        <v>6197907.0110930772</v>
      </c>
      <c r="G54" s="45" t="s">
        <v>583</v>
      </c>
      <c r="H54" s="45">
        <f t="shared" si="1"/>
        <v>44</v>
      </c>
    </row>
    <row r="55" spans="1:9" x14ac:dyDescent="0.45">
      <c r="A55" s="45">
        <f t="shared" si="0"/>
        <v>45</v>
      </c>
      <c r="B55" s="27" t="s">
        <v>20</v>
      </c>
      <c r="E55" s="67">
        <v>0</v>
      </c>
      <c r="G55" s="45" t="s">
        <v>19</v>
      </c>
      <c r="H55" s="45">
        <f t="shared" si="1"/>
        <v>45</v>
      </c>
    </row>
    <row r="56" spans="1:9" x14ac:dyDescent="0.45">
      <c r="A56" s="45">
        <f t="shared" si="0"/>
        <v>46</v>
      </c>
      <c r="B56" s="27" t="s">
        <v>21</v>
      </c>
      <c r="E56" s="68">
        <v>46899.099622544018</v>
      </c>
      <c r="G56" s="69" t="s">
        <v>584</v>
      </c>
      <c r="H56" s="45">
        <f t="shared" si="1"/>
        <v>46</v>
      </c>
    </row>
    <row r="57" spans="1:9" x14ac:dyDescent="0.45">
      <c r="A57" s="45">
        <f t="shared" si="0"/>
        <v>47</v>
      </c>
      <c r="B57" s="27" t="s">
        <v>46</v>
      </c>
      <c r="E57" s="579">
        <v>105080.18864726061</v>
      </c>
      <c r="G57" s="69" t="s">
        <v>585</v>
      </c>
      <c r="H57" s="45">
        <f t="shared" si="1"/>
        <v>47</v>
      </c>
    </row>
    <row r="58" spans="1:9" ht="15.75" thickBot="1" x14ac:dyDescent="0.5">
      <c r="A58" s="45">
        <f t="shared" si="0"/>
        <v>48</v>
      </c>
      <c r="B58" s="27" t="s">
        <v>47</v>
      </c>
      <c r="E58" s="70">
        <f>SUM(E54:E57)</f>
        <v>6349886.299362882</v>
      </c>
      <c r="G58" s="45" t="s">
        <v>586</v>
      </c>
      <c r="H58" s="45">
        <f t="shared" si="1"/>
        <v>48</v>
      </c>
      <c r="I58" s="52"/>
    </row>
    <row r="59" spans="1:9" ht="15.75" thickTop="1" x14ac:dyDescent="0.45">
      <c r="A59" s="45">
        <f t="shared" si="0"/>
        <v>49</v>
      </c>
      <c r="B59" s="64"/>
      <c r="E59" s="44"/>
      <c r="G59" s="45"/>
      <c r="H59" s="45">
        <f t="shared" si="1"/>
        <v>49</v>
      </c>
    </row>
    <row r="60" spans="1:9" x14ac:dyDescent="0.45">
      <c r="A60" s="45">
        <f t="shared" si="0"/>
        <v>50</v>
      </c>
      <c r="B60" s="27" t="s">
        <v>48</v>
      </c>
      <c r="E60" s="71">
        <f>E54</f>
        <v>6197907.0110930772</v>
      </c>
      <c r="G60" s="72" t="s">
        <v>587</v>
      </c>
      <c r="H60" s="45">
        <f t="shared" si="1"/>
        <v>50</v>
      </c>
    </row>
    <row r="61" spans="1:9" x14ac:dyDescent="0.45">
      <c r="A61" s="45">
        <f t="shared" si="0"/>
        <v>51</v>
      </c>
      <c r="B61" s="27" t="s">
        <v>49</v>
      </c>
      <c r="E61" s="41">
        <v>549685.71425000008</v>
      </c>
      <c r="G61" s="69" t="s">
        <v>588</v>
      </c>
      <c r="H61" s="45">
        <f t="shared" si="1"/>
        <v>51</v>
      </c>
    </row>
    <row r="62" spans="1:9" x14ac:dyDescent="0.45">
      <c r="A62" s="45">
        <f t="shared" si="0"/>
        <v>52</v>
      </c>
      <c r="B62" s="27" t="s">
        <v>50</v>
      </c>
      <c r="E62" s="67">
        <v>0</v>
      </c>
      <c r="G62" s="45" t="s">
        <v>19</v>
      </c>
      <c r="H62" s="45">
        <f t="shared" si="1"/>
        <v>52</v>
      </c>
    </row>
    <row r="63" spans="1:9" x14ac:dyDescent="0.45">
      <c r="A63" s="45">
        <f t="shared" si="0"/>
        <v>53</v>
      </c>
      <c r="B63" s="27" t="s">
        <v>51</v>
      </c>
      <c r="E63" s="41">
        <v>523339.62325846136</v>
      </c>
      <c r="G63" s="69" t="s">
        <v>589</v>
      </c>
      <c r="H63" s="45">
        <f t="shared" si="1"/>
        <v>53</v>
      </c>
    </row>
    <row r="64" spans="1:9" x14ac:dyDescent="0.45">
      <c r="A64" s="45">
        <f t="shared" si="0"/>
        <v>54</v>
      </c>
      <c r="B64" s="27" t="s">
        <v>52</v>
      </c>
      <c r="E64" s="41">
        <v>7177286.0903050005</v>
      </c>
      <c r="G64" s="69" t="s">
        <v>590</v>
      </c>
      <c r="H64" s="45">
        <f t="shared" si="1"/>
        <v>54</v>
      </c>
    </row>
    <row r="65" spans="1:9" x14ac:dyDescent="0.45">
      <c r="A65" s="45">
        <f t="shared" si="0"/>
        <v>55</v>
      </c>
      <c r="B65" s="52" t="s">
        <v>20</v>
      </c>
      <c r="E65" s="67">
        <v>0</v>
      </c>
      <c r="G65" s="45" t="s">
        <v>19</v>
      </c>
      <c r="H65" s="45">
        <f t="shared" si="1"/>
        <v>55</v>
      </c>
    </row>
    <row r="66" spans="1:9" x14ac:dyDescent="0.45">
      <c r="A66" s="45">
        <f t="shared" si="0"/>
        <v>56</v>
      </c>
      <c r="B66" s="27" t="s">
        <v>53</v>
      </c>
      <c r="E66" s="41">
        <v>462370.25928999996</v>
      </c>
      <c r="G66" s="69" t="s">
        <v>591</v>
      </c>
      <c r="H66" s="45">
        <f t="shared" si="1"/>
        <v>56</v>
      </c>
    </row>
    <row r="67" spans="1:9" x14ac:dyDescent="0.45">
      <c r="A67" s="45">
        <f t="shared" si="0"/>
        <v>57</v>
      </c>
      <c r="B67" s="27" t="s">
        <v>54</v>
      </c>
      <c r="E67" s="580">
        <v>1035967.7363128124</v>
      </c>
      <c r="G67" s="69" t="s">
        <v>592</v>
      </c>
      <c r="H67" s="45">
        <f t="shared" si="1"/>
        <v>57</v>
      </c>
    </row>
    <row r="68" spans="1:9" ht="15.75" thickBot="1" x14ac:dyDescent="0.5">
      <c r="A68" s="45">
        <f t="shared" si="0"/>
        <v>58</v>
      </c>
      <c r="B68" s="27" t="s">
        <v>55</v>
      </c>
      <c r="E68" s="73">
        <f>SUM(E60:E67)</f>
        <v>15946556.434509352</v>
      </c>
      <c r="G68" s="45" t="s">
        <v>593</v>
      </c>
      <c r="H68" s="45">
        <f t="shared" si="1"/>
        <v>58</v>
      </c>
      <c r="I68" s="52"/>
    </row>
    <row r="69" spans="1:9" ht="15.75" thickTop="1" x14ac:dyDescent="0.45">
      <c r="A69" s="45">
        <f t="shared" si="0"/>
        <v>59</v>
      </c>
      <c r="E69" s="74"/>
      <c r="G69" s="45"/>
      <c r="H69" s="45">
        <f t="shared" si="1"/>
        <v>59</v>
      </c>
    </row>
    <row r="70" spans="1:9" ht="18" thickBot="1" x14ac:dyDescent="0.5">
      <c r="A70" s="45">
        <f t="shared" si="0"/>
        <v>60</v>
      </c>
      <c r="B70" s="27" t="s">
        <v>409</v>
      </c>
      <c r="E70" s="75">
        <f>E58/E68</f>
        <v>0.39819796364444732</v>
      </c>
      <c r="G70" s="45" t="s">
        <v>594</v>
      </c>
      <c r="H70" s="45">
        <f t="shared" si="1"/>
        <v>60</v>
      </c>
      <c r="I70" s="52"/>
    </row>
    <row r="71" spans="1:9" ht="15.75" thickTop="1" x14ac:dyDescent="0.45">
      <c r="B71" s="52" t="s">
        <v>11</v>
      </c>
      <c r="E71" s="76"/>
      <c r="G71" s="45"/>
      <c r="H71" s="45"/>
    </row>
    <row r="72" spans="1:9" ht="15.75" x14ac:dyDescent="0.5">
      <c r="A72" s="679" t="s">
        <v>16</v>
      </c>
      <c r="B72" s="25" t="s">
        <v>288</v>
      </c>
      <c r="E72" s="76"/>
      <c r="F72" s="76"/>
      <c r="G72" s="45"/>
      <c r="H72" s="45"/>
    </row>
    <row r="73" spans="1:9" ht="17.25" x14ac:dyDescent="0.45">
      <c r="A73" s="78">
        <v>1</v>
      </c>
      <c r="B73" s="27" t="s">
        <v>632</v>
      </c>
      <c r="H73" s="45"/>
    </row>
    <row r="74" spans="1:9" x14ac:dyDescent="0.45">
      <c r="B74" s="52"/>
      <c r="E74" s="74"/>
      <c r="F74" s="74"/>
      <c r="G74" s="45"/>
      <c r="H74" s="45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Roman,Bold"REVISED</oddHeader>
    <oddFooter>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50B6-648D-4404-899C-BD40B4A9F35D}">
  <sheetPr>
    <pageSetUpPr fitToPage="1"/>
  </sheetPr>
  <dimension ref="A1:N430"/>
  <sheetViews>
    <sheetView zoomScale="80" zoomScaleNormal="80" workbookViewId="0"/>
  </sheetViews>
  <sheetFormatPr defaultColWidth="13.3984375" defaultRowHeight="15.4" x14ac:dyDescent="0.45"/>
  <cols>
    <col min="1" max="1" width="5.1328125" style="46" customWidth="1"/>
    <col min="2" max="2" width="8.59765625" style="79" customWidth="1"/>
    <col min="3" max="3" width="63.1328125" style="46" customWidth="1"/>
    <col min="4" max="4" width="16.86328125" style="46" customWidth="1"/>
    <col min="5" max="5" width="16.86328125" style="44" customWidth="1"/>
    <col min="6" max="6" width="16.86328125" style="46" customWidth="1"/>
    <col min="7" max="7" width="1.59765625" style="46" customWidth="1"/>
    <col min="8" max="9" width="16.86328125" style="46" customWidth="1"/>
    <col min="10" max="10" width="30.59765625" style="46" customWidth="1"/>
    <col min="11" max="11" width="5.1328125" style="46" customWidth="1"/>
    <col min="12" max="16384" width="13.3984375" style="46"/>
  </cols>
  <sheetData>
    <row r="1" spans="1:14" x14ac:dyDescent="0.45">
      <c r="A1" s="685"/>
      <c r="J1" s="47"/>
    </row>
    <row r="2" spans="1:14" s="685" customFormat="1" ht="15" x14ac:dyDescent="0.45">
      <c r="B2" s="806" t="s">
        <v>24</v>
      </c>
      <c r="C2" s="806"/>
      <c r="D2" s="806"/>
      <c r="E2" s="806"/>
      <c r="F2" s="806"/>
      <c r="G2" s="806"/>
      <c r="H2" s="806"/>
      <c r="I2" s="806"/>
      <c r="J2" s="806"/>
      <c r="K2" s="684"/>
    </row>
    <row r="3" spans="1:14" s="685" customFormat="1" ht="15" x14ac:dyDescent="0.45">
      <c r="B3" s="806" t="s">
        <v>56</v>
      </c>
      <c r="C3" s="806"/>
      <c r="D3" s="806"/>
      <c r="E3" s="806"/>
      <c r="F3" s="806"/>
      <c r="G3" s="806"/>
      <c r="H3" s="806"/>
      <c r="I3" s="806"/>
      <c r="J3" s="806"/>
      <c r="K3" s="581"/>
    </row>
    <row r="4" spans="1:14" s="685" customFormat="1" ht="15" x14ac:dyDescent="0.45">
      <c r="B4" s="806" t="s">
        <v>595</v>
      </c>
      <c r="C4" s="806"/>
      <c r="D4" s="806"/>
      <c r="E4" s="806"/>
      <c r="F4" s="806"/>
      <c r="G4" s="806"/>
      <c r="H4" s="806"/>
      <c r="I4" s="806"/>
      <c r="J4" s="806"/>
      <c r="K4" s="581"/>
    </row>
    <row r="5" spans="1:14" s="685" customFormat="1" ht="15" x14ac:dyDescent="0.45">
      <c r="B5" s="808" t="s">
        <v>1</v>
      </c>
      <c r="C5" s="808"/>
      <c r="D5" s="808"/>
      <c r="E5" s="808"/>
      <c r="F5" s="808"/>
      <c r="G5" s="808"/>
      <c r="H5" s="808"/>
      <c r="I5" s="808"/>
      <c r="J5" s="808"/>
      <c r="K5" s="581"/>
    </row>
    <row r="6" spans="1:14" ht="15.75" thickBot="1" x14ac:dyDescent="0.5">
      <c r="A6" s="582"/>
      <c r="B6" s="81"/>
      <c r="C6" s="82"/>
      <c r="D6" s="82"/>
      <c r="E6" s="83"/>
      <c r="F6" s="82"/>
      <c r="G6" s="82"/>
      <c r="H6" s="82"/>
      <c r="I6" s="82"/>
      <c r="J6" s="82"/>
      <c r="K6" s="82"/>
    </row>
    <row r="7" spans="1:14" s="685" customFormat="1" ht="17.25" x14ac:dyDescent="0.4">
      <c r="A7" s="46"/>
      <c r="B7" s="84"/>
      <c r="C7" s="85"/>
      <c r="D7" s="86" t="s">
        <v>10</v>
      </c>
      <c r="E7" s="87" t="s">
        <v>57</v>
      </c>
      <c r="F7" s="86" t="s">
        <v>58</v>
      </c>
      <c r="G7" s="88"/>
      <c r="H7" s="89" t="s">
        <v>410</v>
      </c>
      <c r="I7" s="89" t="s">
        <v>59</v>
      </c>
      <c r="J7" s="90"/>
      <c r="K7" s="46"/>
    </row>
    <row r="8" spans="1:14" s="685" customFormat="1" x14ac:dyDescent="0.4">
      <c r="A8" s="45" t="s">
        <v>2</v>
      </c>
      <c r="B8" s="91" t="s">
        <v>60</v>
      </c>
      <c r="D8" s="92" t="s">
        <v>9</v>
      </c>
      <c r="E8" s="92" t="s">
        <v>61</v>
      </c>
      <c r="F8" s="92" t="s">
        <v>9</v>
      </c>
      <c r="G8" s="684"/>
      <c r="H8" s="93" t="s">
        <v>411</v>
      </c>
      <c r="I8" s="93" t="s">
        <v>62</v>
      </c>
      <c r="J8" s="94"/>
      <c r="K8" s="45" t="s">
        <v>2</v>
      </c>
    </row>
    <row r="9" spans="1:14" s="685" customFormat="1" x14ac:dyDescent="0.4">
      <c r="A9" s="45" t="s">
        <v>6</v>
      </c>
      <c r="B9" s="583" t="s">
        <v>63</v>
      </c>
      <c r="C9" s="584" t="s">
        <v>3</v>
      </c>
      <c r="D9" s="585" t="s">
        <v>64</v>
      </c>
      <c r="E9" s="585" t="s">
        <v>65</v>
      </c>
      <c r="F9" s="585" t="s">
        <v>66</v>
      </c>
      <c r="G9" s="584"/>
      <c r="H9" s="586" t="s">
        <v>412</v>
      </c>
      <c r="I9" s="586" t="s">
        <v>67</v>
      </c>
      <c r="J9" s="587" t="s">
        <v>5</v>
      </c>
      <c r="K9" s="45" t="s">
        <v>6</v>
      </c>
    </row>
    <row r="10" spans="1:14" s="685" customFormat="1" x14ac:dyDescent="0.45">
      <c r="A10" s="45"/>
      <c r="B10" s="95"/>
      <c r="C10" s="96" t="s">
        <v>68</v>
      </c>
      <c r="D10" s="97"/>
      <c r="E10" s="97"/>
      <c r="F10" s="97"/>
      <c r="G10" s="98"/>
      <c r="H10" s="98"/>
      <c r="I10" s="97"/>
      <c r="J10" s="99"/>
      <c r="K10" s="45"/>
      <c r="M10" s="46"/>
      <c r="N10" s="46"/>
    </row>
    <row r="11" spans="1:14" s="685" customFormat="1" x14ac:dyDescent="0.45">
      <c r="A11" s="45">
        <v>1</v>
      </c>
      <c r="B11" s="100">
        <v>560</v>
      </c>
      <c r="C11" s="46" t="s">
        <v>69</v>
      </c>
      <c r="D11" s="101">
        <v>7279.0110000000004</v>
      </c>
      <c r="E11" s="101">
        <f>E51</f>
        <v>132.11562000000001</v>
      </c>
      <c r="F11" s="101">
        <f>D11-E11</f>
        <v>7146.8953800000008</v>
      </c>
      <c r="G11" s="43"/>
      <c r="H11" s="43"/>
      <c r="I11" s="101">
        <f>F11+H11</f>
        <v>7146.8953800000008</v>
      </c>
      <c r="J11" s="103" t="s">
        <v>70</v>
      </c>
      <c r="K11" s="45">
        <f>A11</f>
        <v>1</v>
      </c>
      <c r="M11" s="46"/>
      <c r="N11" s="46"/>
    </row>
    <row r="12" spans="1:14" s="685" customFormat="1" x14ac:dyDescent="0.45">
      <c r="A12" s="45">
        <f>A11+1</f>
        <v>2</v>
      </c>
      <c r="B12" s="100">
        <v>561.1</v>
      </c>
      <c r="C12" s="46" t="s">
        <v>71</v>
      </c>
      <c r="D12" s="104">
        <v>668.024</v>
      </c>
      <c r="E12" s="104">
        <v>0</v>
      </c>
      <c r="F12" s="104">
        <f>D12-E12</f>
        <v>668.024</v>
      </c>
      <c r="G12" s="105"/>
      <c r="H12" s="105"/>
      <c r="I12" s="104">
        <f>F12+H12</f>
        <v>668.024</v>
      </c>
      <c r="J12" s="103" t="s">
        <v>72</v>
      </c>
      <c r="K12" s="45">
        <f>K11+1</f>
        <v>2</v>
      </c>
      <c r="M12" s="46"/>
      <c r="N12" s="46"/>
    </row>
    <row r="13" spans="1:14" s="685" customFormat="1" x14ac:dyDescent="0.45">
      <c r="A13" s="45">
        <f t="shared" ref="A13:A76" si="0">A12+1</f>
        <v>3</v>
      </c>
      <c r="B13" s="100">
        <v>561.20000000000005</v>
      </c>
      <c r="C13" s="46" t="s">
        <v>73</v>
      </c>
      <c r="D13" s="104">
        <v>1351.6510000000001</v>
      </c>
      <c r="E13" s="104">
        <v>0</v>
      </c>
      <c r="F13" s="104">
        <f>D13-E13</f>
        <v>1351.6510000000001</v>
      </c>
      <c r="G13" s="105"/>
      <c r="H13" s="105"/>
      <c r="I13" s="104">
        <f t="shared" ref="I13:I24" si="1">F13+H13</f>
        <v>1351.6510000000001</v>
      </c>
      <c r="J13" s="103" t="s">
        <v>74</v>
      </c>
      <c r="K13" s="45">
        <f t="shared" ref="K13:K76" si="2">K12+1</f>
        <v>3</v>
      </c>
      <c r="M13" s="46"/>
      <c r="N13" s="46"/>
    </row>
    <row r="14" spans="1:14" s="685" customFormat="1" x14ac:dyDescent="0.45">
      <c r="A14" s="45">
        <f t="shared" si="0"/>
        <v>4</v>
      </c>
      <c r="B14" s="100">
        <v>561.29999999999995</v>
      </c>
      <c r="C14" s="46" t="s">
        <v>75</v>
      </c>
      <c r="D14" s="104">
        <v>182.67599999999999</v>
      </c>
      <c r="E14" s="104">
        <v>0</v>
      </c>
      <c r="F14" s="104">
        <f>D14-E14</f>
        <v>182.67599999999999</v>
      </c>
      <c r="G14" s="105"/>
      <c r="H14" s="105"/>
      <c r="I14" s="104">
        <f t="shared" si="1"/>
        <v>182.67599999999999</v>
      </c>
      <c r="J14" s="103" t="s">
        <v>76</v>
      </c>
      <c r="K14" s="45">
        <f t="shared" si="2"/>
        <v>4</v>
      </c>
      <c r="M14" s="46"/>
      <c r="N14" s="46"/>
    </row>
    <row r="15" spans="1:14" s="685" customFormat="1" x14ac:dyDescent="0.45">
      <c r="A15" s="45">
        <f t="shared" si="0"/>
        <v>5</v>
      </c>
      <c r="B15" s="100">
        <v>561.4</v>
      </c>
      <c r="C15" s="46" t="s">
        <v>77</v>
      </c>
      <c r="D15" s="104">
        <v>5093.2439999999997</v>
      </c>
      <c r="E15" s="104">
        <f>E52</f>
        <v>5093.2442599999995</v>
      </c>
      <c r="F15" s="104">
        <f t="shared" ref="F15:F17" si="3">D15-E15</f>
        <v>-2.5999999979831045E-4</v>
      </c>
      <c r="G15" s="105"/>
      <c r="H15" s="105"/>
      <c r="I15" s="104">
        <f t="shared" si="1"/>
        <v>-2.5999999979831045E-4</v>
      </c>
      <c r="J15" s="103" t="s">
        <v>78</v>
      </c>
      <c r="K15" s="45">
        <f t="shared" si="2"/>
        <v>5</v>
      </c>
      <c r="M15" s="46"/>
      <c r="N15" s="46"/>
    </row>
    <row r="16" spans="1:14" s="685" customFormat="1" x14ac:dyDescent="0.45">
      <c r="A16" s="45">
        <f t="shared" si="0"/>
        <v>6</v>
      </c>
      <c r="B16" s="100">
        <v>561.5</v>
      </c>
      <c r="C16" s="46" t="s">
        <v>79</v>
      </c>
      <c r="D16" s="104">
        <v>94.123999999999995</v>
      </c>
      <c r="E16" s="104">
        <v>0</v>
      </c>
      <c r="F16" s="104">
        <f t="shared" si="3"/>
        <v>94.123999999999995</v>
      </c>
      <c r="G16" s="105"/>
      <c r="H16" s="105"/>
      <c r="I16" s="104">
        <f t="shared" si="1"/>
        <v>94.123999999999995</v>
      </c>
      <c r="J16" s="103" t="s">
        <v>80</v>
      </c>
      <c r="K16" s="45">
        <f t="shared" si="2"/>
        <v>6</v>
      </c>
      <c r="M16" s="46"/>
      <c r="N16" s="46"/>
    </row>
    <row r="17" spans="1:14" s="685" customFormat="1" x14ac:dyDescent="0.45">
      <c r="A17" s="45">
        <f t="shared" si="0"/>
        <v>7</v>
      </c>
      <c r="B17" s="100">
        <v>561.6</v>
      </c>
      <c r="C17" s="46" t="s">
        <v>81</v>
      </c>
      <c r="D17" s="104">
        <v>0</v>
      </c>
      <c r="E17" s="104">
        <v>0</v>
      </c>
      <c r="F17" s="104">
        <f t="shared" si="3"/>
        <v>0</v>
      </c>
      <c r="G17" s="105"/>
      <c r="H17" s="105"/>
      <c r="I17" s="104">
        <f t="shared" si="1"/>
        <v>0</v>
      </c>
      <c r="J17" s="103" t="s">
        <v>82</v>
      </c>
      <c r="K17" s="45">
        <f t="shared" si="2"/>
        <v>7</v>
      </c>
      <c r="M17" s="46"/>
      <c r="N17" s="46"/>
    </row>
    <row r="18" spans="1:14" s="685" customFormat="1" x14ac:dyDescent="0.45">
      <c r="A18" s="45">
        <f t="shared" si="0"/>
        <v>8</v>
      </c>
      <c r="B18" s="100">
        <v>561.70000000000005</v>
      </c>
      <c r="C18" s="46" t="s">
        <v>83</v>
      </c>
      <c r="D18" s="104">
        <v>2.0979999999999999</v>
      </c>
      <c r="E18" s="104">
        <v>0</v>
      </c>
      <c r="F18" s="104">
        <f>D18-E18</f>
        <v>2.0979999999999999</v>
      </c>
      <c r="G18" s="107"/>
      <c r="H18" s="106"/>
      <c r="I18" s="104">
        <f t="shared" si="1"/>
        <v>2.0979999999999999</v>
      </c>
      <c r="J18" s="103" t="s">
        <v>84</v>
      </c>
      <c r="K18" s="45">
        <f t="shared" si="2"/>
        <v>8</v>
      </c>
      <c r="M18" s="46"/>
      <c r="N18" s="46"/>
    </row>
    <row r="19" spans="1:14" s="685" customFormat="1" x14ac:dyDescent="0.45">
      <c r="A19" s="45">
        <f t="shared" si="0"/>
        <v>9</v>
      </c>
      <c r="B19" s="100">
        <v>561.79999999999995</v>
      </c>
      <c r="C19" s="46" t="s">
        <v>85</v>
      </c>
      <c r="D19" s="104">
        <v>3079.7379999999998</v>
      </c>
      <c r="E19" s="105">
        <f>E53</f>
        <v>2418.7412800000002</v>
      </c>
      <c r="F19" s="104">
        <f t="shared" ref="F19:F20" si="4">D19-E19</f>
        <v>660.99671999999964</v>
      </c>
      <c r="G19" s="107"/>
      <c r="H19" s="106"/>
      <c r="I19" s="104">
        <f t="shared" si="1"/>
        <v>660.99671999999964</v>
      </c>
      <c r="J19" s="103" t="s">
        <v>86</v>
      </c>
      <c r="K19" s="45">
        <f t="shared" si="2"/>
        <v>9</v>
      </c>
      <c r="M19" s="46"/>
      <c r="N19" s="46"/>
    </row>
    <row r="20" spans="1:14" s="685" customFormat="1" ht="17.25" x14ac:dyDescent="0.45">
      <c r="A20" s="45">
        <f t="shared" si="0"/>
        <v>10</v>
      </c>
      <c r="B20" s="100">
        <v>562</v>
      </c>
      <c r="C20" s="46" t="s">
        <v>413</v>
      </c>
      <c r="D20" s="104">
        <v>6283.7089999999998</v>
      </c>
      <c r="E20" s="105">
        <f>E54</f>
        <v>6283.7089999999998</v>
      </c>
      <c r="F20" s="104">
        <f t="shared" si="4"/>
        <v>0</v>
      </c>
      <c r="G20" s="107"/>
      <c r="H20" s="106"/>
      <c r="I20" s="104">
        <f t="shared" si="1"/>
        <v>0</v>
      </c>
      <c r="J20" s="588" t="s">
        <v>87</v>
      </c>
      <c r="K20" s="45">
        <f t="shared" si="2"/>
        <v>10</v>
      </c>
      <c r="L20" s="589"/>
      <c r="M20" s="46"/>
      <c r="N20" s="46"/>
    </row>
    <row r="21" spans="1:14" s="685" customFormat="1" x14ac:dyDescent="0.45">
      <c r="A21" s="45">
        <f t="shared" si="0"/>
        <v>11</v>
      </c>
      <c r="B21" s="100">
        <v>563</v>
      </c>
      <c r="C21" s="46" t="s">
        <v>414</v>
      </c>
      <c r="D21" s="104">
        <v>8316.0300000000007</v>
      </c>
      <c r="E21" s="104">
        <f>E55</f>
        <v>8316.0300000000007</v>
      </c>
      <c r="F21" s="104">
        <f>D21-E21</f>
        <v>0</v>
      </c>
      <c r="G21" s="107"/>
      <c r="H21" s="106"/>
      <c r="I21" s="104">
        <f t="shared" si="1"/>
        <v>0</v>
      </c>
      <c r="J21" s="588" t="s">
        <v>88</v>
      </c>
      <c r="K21" s="45">
        <f t="shared" si="2"/>
        <v>11</v>
      </c>
      <c r="L21" s="590"/>
      <c r="M21" s="46"/>
      <c r="N21" s="46"/>
    </row>
    <row r="22" spans="1:14" s="685" customFormat="1" x14ac:dyDescent="0.45">
      <c r="A22" s="45">
        <f t="shared" si="0"/>
        <v>12</v>
      </c>
      <c r="B22" s="100">
        <v>564</v>
      </c>
      <c r="C22" s="46" t="s">
        <v>89</v>
      </c>
      <c r="D22" s="104">
        <v>12.191000000000001</v>
      </c>
      <c r="E22" s="104">
        <v>0</v>
      </c>
      <c r="F22" s="104">
        <f>D22-E22</f>
        <v>12.191000000000001</v>
      </c>
      <c r="G22" s="107"/>
      <c r="H22" s="106"/>
      <c r="I22" s="104">
        <f t="shared" si="1"/>
        <v>12.191000000000001</v>
      </c>
      <c r="J22" s="588" t="s">
        <v>90</v>
      </c>
      <c r="K22" s="45">
        <f t="shared" si="2"/>
        <v>12</v>
      </c>
      <c r="M22" s="46"/>
      <c r="N22" s="46"/>
    </row>
    <row r="23" spans="1:14" s="685" customFormat="1" x14ac:dyDescent="0.45">
      <c r="A23" s="45">
        <f t="shared" si="0"/>
        <v>13</v>
      </c>
      <c r="B23" s="100">
        <v>565</v>
      </c>
      <c r="C23" s="46" t="s">
        <v>91</v>
      </c>
      <c r="D23" s="104">
        <v>0</v>
      </c>
      <c r="E23" s="104">
        <f>E56</f>
        <v>0</v>
      </c>
      <c r="F23" s="104">
        <f t="shared" ref="F23:F24" si="5">D23-E23</f>
        <v>0</v>
      </c>
      <c r="G23" s="107"/>
      <c r="H23" s="106"/>
      <c r="I23" s="104">
        <f t="shared" si="1"/>
        <v>0</v>
      </c>
      <c r="J23" s="588" t="s">
        <v>92</v>
      </c>
      <c r="K23" s="45">
        <f t="shared" si="2"/>
        <v>13</v>
      </c>
      <c r="M23" s="46"/>
      <c r="N23" s="46"/>
    </row>
    <row r="24" spans="1:14" s="685" customFormat="1" ht="15.75" x14ac:dyDescent="0.5">
      <c r="A24" s="45">
        <f t="shared" si="0"/>
        <v>14</v>
      </c>
      <c r="B24" s="108">
        <v>566</v>
      </c>
      <c r="C24" s="46" t="s">
        <v>93</v>
      </c>
      <c r="D24" s="104">
        <v>20246.481</v>
      </c>
      <c r="E24" s="105">
        <f>E62</f>
        <v>3186.0456599999998</v>
      </c>
      <c r="F24" s="104">
        <f t="shared" si="5"/>
        <v>17060.43534</v>
      </c>
      <c r="G24" s="28" t="s">
        <v>16</v>
      </c>
      <c r="H24" s="176">
        <v>-2294.73</v>
      </c>
      <c r="I24" s="109">
        <f t="shared" si="1"/>
        <v>14765.70534</v>
      </c>
      <c r="J24" s="588" t="s">
        <v>94</v>
      </c>
      <c r="K24" s="45">
        <f t="shared" si="2"/>
        <v>14</v>
      </c>
      <c r="M24" s="46"/>
      <c r="N24" s="46"/>
    </row>
    <row r="25" spans="1:14" s="685" customFormat="1" x14ac:dyDescent="0.45">
      <c r="A25" s="45">
        <f t="shared" si="0"/>
        <v>15</v>
      </c>
      <c r="B25" s="100">
        <v>567</v>
      </c>
      <c r="C25" s="46" t="s">
        <v>95</v>
      </c>
      <c r="D25" s="591">
        <v>2829.8249999999998</v>
      </c>
      <c r="E25" s="591">
        <v>0</v>
      </c>
      <c r="F25" s="591">
        <f>D25-E25</f>
        <v>2829.8249999999998</v>
      </c>
      <c r="G25" s="592"/>
      <c r="H25" s="593"/>
      <c r="I25" s="593">
        <f>F25+H25</f>
        <v>2829.8249999999998</v>
      </c>
      <c r="J25" s="588" t="s">
        <v>96</v>
      </c>
      <c r="K25" s="45">
        <f t="shared" si="2"/>
        <v>15</v>
      </c>
      <c r="M25" s="46"/>
      <c r="N25" s="46"/>
    </row>
    <row r="26" spans="1:14" s="685" customFormat="1" x14ac:dyDescent="0.45">
      <c r="A26" s="45">
        <f t="shared" si="0"/>
        <v>16</v>
      </c>
      <c r="B26" s="100"/>
      <c r="C26" s="46"/>
      <c r="D26" s="104"/>
      <c r="E26" s="105"/>
      <c r="F26" s="104"/>
      <c r="G26" s="105"/>
      <c r="H26" s="106"/>
      <c r="I26" s="123"/>
      <c r="J26" s="103"/>
      <c r="K26" s="45">
        <f t="shared" si="2"/>
        <v>16</v>
      </c>
      <c r="M26" s="46"/>
      <c r="N26" s="46"/>
    </row>
    <row r="27" spans="1:14" s="685" customFormat="1" ht="16.149999999999999" thickBot="1" x14ac:dyDescent="0.55000000000000004">
      <c r="A27" s="45">
        <f t="shared" si="0"/>
        <v>17</v>
      </c>
      <c r="B27" s="110"/>
      <c r="C27" s="111" t="s">
        <v>97</v>
      </c>
      <c r="D27" s="112">
        <f>SUM(D11:D25)</f>
        <v>55438.801999999996</v>
      </c>
      <c r="E27" s="113">
        <f>SUM(E11:E25)</f>
        <v>25429.88582</v>
      </c>
      <c r="F27" s="112">
        <f>SUM(F11:F25)</f>
        <v>30008.91618</v>
      </c>
      <c r="G27" s="114" t="s">
        <v>16</v>
      </c>
      <c r="H27" s="115">
        <f>SUM(H11:H25)</f>
        <v>-2294.73</v>
      </c>
      <c r="I27" s="594">
        <f>SUM(I11:I25)</f>
        <v>27714.186180000001</v>
      </c>
      <c r="J27" s="116" t="str">
        <f>"Sum Lines "&amp;A11&amp;" thru "&amp;A25</f>
        <v>Sum Lines 1 thru 15</v>
      </c>
      <c r="K27" s="45">
        <f t="shared" si="2"/>
        <v>17</v>
      </c>
      <c r="M27" s="60"/>
      <c r="N27" s="46"/>
    </row>
    <row r="28" spans="1:14" s="685" customFormat="1" x14ac:dyDescent="0.45">
      <c r="A28" s="45">
        <f t="shared" si="0"/>
        <v>18</v>
      </c>
      <c r="B28" s="117"/>
      <c r="C28" s="46"/>
      <c r="D28" s="118"/>
      <c r="E28" s="119"/>
      <c r="F28" s="118"/>
      <c r="G28" s="120"/>
      <c r="H28" s="595"/>
      <c r="I28" s="119"/>
      <c r="J28" s="588"/>
      <c r="K28" s="45">
        <f t="shared" si="2"/>
        <v>18</v>
      </c>
      <c r="M28" s="46"/>
      <c r="N28" s="46"/>
    </row>
    <row r="29" spans="1:14" s="685" customFormat="1" x14ac:dyDescent="0.45">
      <c r="A29" s="45">
        <f t="shared" si="0"/>
        <v>19</v>
      </c>
      <c r="B29" s="95"/>
      <c r="C29" s="96" t="s">
        <v>98</v>
      </c>
      <c r="D29" s="118"/>
      <c r="E29" s="119"/>
      <c r="F29" s="118"/>
      <c r="G29" s="120"/>
      <c r="H29" s="121"/>
      <c r="I29" s="119"/>
      <c r="J29" s="588"/>
      <c r="K29" s="45">
        <f t="shared" si="2"/>
        <v>19</v>
      </c>
      <c r="M29" s="46"/>
      <c r="N29" s="46"/>
    </row>
    <row r="30" spans="1:14" s="685" customFormat="1" x14ac:dyDescent="0.45">
      <c r="A30" s="45">
        <f t="shared" si="0"/>
        <v>20</v>
      </c>
      <c r="B30" s="100">
        <v>568</v>
      </c>
      <c r="C30" s="46" t="s">
        <v>99</v>
      </c>
      <c r="D30" s="101">
        <v>2017.028</v>
      </c>
      <c r="E30" s="101">
        <v>0</v>
      </c>
      <c r="F30" s="101">
        <f t="shared" ref="F30:F31" si="6">D30-E30</f>
        <v>2017.028</v>
      </c>
      <c r="G30" s="122"/>
      <c r="H30" s="102"/>
      <c r="I30" s="43">
        <f>F30+H30</f>
        <v>2017.028</v>
      </c>
      <c r="J30" s="588" t="s">
        <v>100</v>
      </c>
      <c r="K30" s="45">
        <f t="shared" si="2"/>
        <v>20</v>
      </c>
      <c r="M30" s="46"/>
      <c r="N30" s="46"/>
    </row>
    <row r="31" spans="1:14" s="685" customFormat="1" x14ac:dyDescent="0.45">
      <c r="A31" s="45">
        <f t="shared" si="0"/>
        <v>21</v>
      </c>
      <c r="B31" s="100">
        <v>569</v>
      </c>
      <c r="C31" s="46" t="s">
        <v>101</v>
      </c>
      <c r="D31" s="104">
        <v>579.452</v>
      </c>
      <c r="E31" s="105">
        <v>0</v>
      </c>
      <c r="F31" s="104">
        <f t="shared" si="6"/>
        <v>579.452</v>
      </c>
      <c r="G31" s="107"/>
      <c r="H31" s="106"/>
      <c r="I31" s="105">
        <f>F31+H31</f>
        <v>579.452</v>
      </c>
      <c r="J31" s="588" t="s">
        <v>102</v>
      </c>
      <c r="K31" s="45">
        <f t="shared" si="2"/>
        <v>21</v>
      </c>
      <c r="M31" s="46"/>
      <c r="N31" s="46"/>
    </row>
    <row r="32" spans="1:14" s="685" customFormat="1" x14ac:dyDescent="0.45">
      <c r="A32" s="45">
        <f t="shared" si="0"/>
        <v>22</v>
      </c>
      <c r="B32" s="100">
        <v>569.1</v>
      </c>
      <c r="C32" s="46" t="s">
        <v>103</v>
      </c>
      <c r="D32" s="104">
        <v>1248.578</v>
      </c>
      <c r="E32" s="105">
        <v>0</v>
      </c>
      <c r="F32" s="104">
        <f>D32-E32</f>
        <v>1248.578</v>
      </c>
      <c r="G32" s="107"/>
      <c r="H32" s="106"/>
      <c r="I32" s="105">
        <f t="shared" ref="I32:I39" si="7">F32+H32</f>
        <v>1248.578</v>
      </c>
      <c r="J32" s="588" t="s">
        <v>104</v>
      </c>
      <c r="K32" s="45">
        <f t="shared" si="2"/>
        <v>22</v>
      </c>
      <c r="M32" s="46"/>
      <c r="N32" s="46"/>
    </row>
    <row r="33" spans="1:14" s="685" customFormat="1" x14ac:dyDescent="0.45">
      <c r="A33" s="45">
        <f t="shared" si="0"/>
        <v>23</v>
      </c>
      <c r="B33" s="100">
        <v>569.20000000000005</v>
      </c>
      <c r="C33" s="46" t="s">
        <v>105</v>
      </c>
      <c r="D33" s="104">
        <v>2090.8829999999998</v>
      </c>
      <c r="E33" s="105">
        <v>0</v>
      </c>
      <c r="F33" s="104">
        <f t="shared" ref="F33:F35" si="8">D33-E33</f>
        <v>2090.8829999999998</v>
      </c>
      <c r="G33" s="107"/>
      <c r="H33" s="106"/>
      <c r="I33" s="105">
        <f t="shared" si="7"/>
        <v>2090.8829999999998</v>
      </c>
      <c r="J33" s="588" t="s">
        <v>106</v>
      </c>
      <c r="K33" s="45">
        <f t="shared" si="2"/>
        <v>23</v>
      </c>
      <c r="M33" s="46"/>
      <c r="N33" s="46"/>
    </row>
    <row r="34" spans="1:14" s="685" customFormat="1" x14ac:dyDescent="0.45">
      <c r="A34" s="45">
        <f t="shared" si="0"/>
        <v>24</v>
      </c>
      <c r="B34" s="100">
        <v>569.29999999999995</v>
      </c>
      <c r="C34" s="46" t="s">
        <v>107</v>
      </c>
      <c r="D34" s="104">
        <v>0.10299999999999999</v>
      </c>
      <c r="E34" s="105">
        <v>0</v>
      </c>
      <c r="F34" s="104">
        <f t="shared" si="8"/>
        <v>0.10299999999999999</v>
      </c>
      <c r="G34" s="107"/>
      <c r="H34" s="106"/>
      <c r="I34" s="105">
        <f t="shared" si="7"/>
        <v>0.10299999999999999</v>
      </c>
      <c r="J34" s="588" t="s">
        <v>108</v>
      </c>
      <c r="K34" s="45">
        <f t="shared" si="2"/>
        <v>24</v>
      </c>
      <c r="M34" s="46"/>
      <c r="N34" s="46"/>
    </row>
    <row r="35" spans="1:14" s="685" customFormat="1" x14ac:dyDescent="0.45">
      <c r="A35" s="45">
        <f t="shared" si="0"/>
        <v>25</v>
      </c>
      <c r="B35" s="100">
        <v>569.4</v>
      </c>
      <c r="C35" s="46" t="s">
        <v>109</v>
      </c>
      <c r="D35" s="104">
        <v>143.69999999999999</v>
      </c>
      <c r="E35" s="105">
        <v>0</v>
      </c>
      <c r="F35" s="104">
        <f t="shared" si="8"/>
        <v>143.69999999999999</v>
      </c>
      <c r="G35" s="107"/>
      <c r="H35" s="106"/>
      <c r="I35" s="105">
        <f t="shared" si="7"/>
        <v>143.69999999999999</v>
      </c>
      <c r="J35" s="588" t="s">
        <v>110</v>
      </c>
      <c r="K35" s="45">
        <f t="shared" si="2"/>
        <v>25</v>
      </c>
      <c r="M35" s="46"/>
      <c r="N35" s="46"/>
    </row>
    <row r="36" spans="1:14" s="685" customFormat="1" ht="17.649999999999999" x14ac:dyDescent="0.45">
      <c r="A36" s="45">
        <f t="shared" si="0"/>
        <v>26</v>
      </c>
      <c r="B36" s="100">
        <v>570</v>
      </c>
      <c r="C36" s="46" t="s">
        <v>415</v>
      </c>
      <c r="D36" s="104">
        <v>16048.173000000001</v>
      </c>
      <c r="E36" s="105">
        <f>E63</f>
        <v>16048.173000000001</v>
      </c>
      <c r="F36" s="104">
        <f>D36-E36</f>
        <v>0</v>
      </c>
      <c r="G36" s="107"/>
      <c r="H36" s="106"/>
      <c r="I36" s="105">
        <f t="shared" si="7"/>
        <v>0</v>
      </c>
      <c r="J36" s="588" t="s">
        <v>111</v>
      </c>
      <c r="K36" s="45">
        <f t="shared" si="2"/>
        <v>26</v>
      </c>
      <c r="M36" s="46"/>
      <c r="N36" s="46"/>
    </row>
    <row r="37" spans="1:14" s="685" customFormat="1" ht="17.649999999999999" x14ac:dyDescent="0.45">
      <c r="A37" s="45">
        <f t="shared" si="0"/>
        <v>27</v>
      </c>
      <c r="B37" s="100">
        <v>571</v>
      </c>
      <c r="C37" s="46" t="s">
        <v>416</v>
      </c>
      <c r="D37" s="104">
        <v>18139.88</v>
      </c>
      <c r="E37" s="105">
        <f>E64</f>
        <v>18139.88</v>
      </c>
      <c r="F37" s="104">
        <f t="shared" ref="F37:F38" si="9">D37-E37</f>
        <v>0</v>
      </c>
      <c r="G37" s="107"/>
      <c r="H37" s="106"/>
      <c r="I37" s="105">
        <f t="shared" si="7"/>
        <v>0</v>
      </c>
      <c r="J37" s="588" t="s">
        <v>112</v>
      </c>
      <c r="K37" s="45">
        <f t="shared" si="2"/>
        <v>27</v>
      </c>
      <c r="M37" s="46"/>
      <c r="N37" s="46"/>
    </row>
    <row r="38" spans="1:14" s="685" customFormat="1" ht="17.25" x14ac:dyDescent="0.45">
      <c r="A38" s="45">
        <f t="shared" si="0"/>
        <v>28</v>
      </c>
      <c r="B38" s="100">
        <v>572</v>
      </c>
      <c r="C38" s="46" t="s">
        <v>417</v>
      </c>
      <c r="D38" s="104">
        <v>720.00900000000001</v>
      </c>
      <c r="E38" s="105">
        <f>E65</f>
        <v>720.00900000000001</v>
      </c>
      <c r="F38" s="104">
        <f t="shared" si="9"/>
        <v>0</v>
      </c>
      <c r="G38" s="105"/>
      <c r="H38" s="106"/>
      <c r="I38" s="104">
        <f t="shared" si="7"/>
        <v>0</v>
      </c>
      <c r="J38" s="103" t="s">
        <v>113</v>
      </c>
      <c r="K38" s="45">
        <f t="shared" si="2"/>
        <v>28</v>
      </c>
      <c r="M38" s="46"/>
      <c r="N38" s="46"/>
    </row>
    <row r="39" spans="1:14" s="685" customFormat="1" x14ac:dyDescent="0.45">
      <c r="A39" s="45">
        <f t="shared" si="0"/>
        <v>29</v>
      </c>
      <c r="B39" s="100">
        <v>573</v>
      </c>
      <c r="C39" s="46" t="s">
        <v>114</v>
      </c>
      <c r="D39" s="591">
        <v>2.7450000000000001</v>
      </c>
      <c r="E39" s="591">
        <v>0</v>
      </c>
      <c r="F39" s="591">
        <f>D39-E39</f>
        <v>2.7450000000000001</v>
      </c>
      <c r="G39" s="592"/>
      <c r="H39" s="593"/>
      <c r="I39" s="591">
        <f t="shared" si="7"/>
        <v>2.7450000000000001</v>
      </c>
      <c r="J39" s="103" t="s">
        <v>115</v>
      </c>
      <c r="K39" s="45">
        <f t="shared" si="2"/>
        <v>29</v>
      </c>
      <c r="M39" s="46"/>
      <c r="N39" s="46"/>
    </row>
    <row r="40" spans="1:14" s="685" customFormat="1" x14ac:dyDescent="0.45">
      <c r="A40" s="45">
        <f t="shared" si="0"/>
        <v>30</v>
      </c>
      <c r="B40" s="100"/>
      <c r="C40" s="46"/>
      <c r="D40" s="123"/>
      <c r="E40" s="105"/>
      <c r="F40" s="123"/>
      <c r="G40" s="105"/>
      <c r="H40" s="106"/>
      <c r="I40" s="104"/>
      <c r="J40" s="103"/>
      <c r="K40" s="45">
        <f t="shared" si="2"/>
        <v>30</v>
      </c>
      <c r="M40" s="46"/>
      <c r="N40" s="46"/>
    </row>
    <row r="41" spans="1:14" s="685" customFormat="1" x14ac:dyDescent="0.45">
      <c r="A41" s="45">
        <f t="shared" si="0"/>
        <v>31</v>
      </c>
      <c r="B41" s="117"/>
      <c r="C41" s="124" t="s">
        <v>418</v>
      </c>
      <c r="D41" s="101">
        <f>SUM(D30:D39)</f>
        <v>40990.551000000007</v>
      </c>
      <c r="E41" s="101">
        <f>SUM(E30:E39)</f>
        <v>34908.061999999998</v>
      </c>
      <c r="F41" s="101">
        <f>SUM(F30:F39)</f>
        <v>6082.4889999999996</v>
      </c>
      <c r="G41" s="596"/>
      <c r="H41" s="597">
        <f>SUM(H30:H39)</f>
        <v>0</v>
      </c>
      <c r="I41" s="597">
        <f>SUM(I30:I39)</f>
        <v>6082.4889999999996</v>
      </c>
      <c r="J41" s="103" t="str">
        <f>"Sum Lines "&amp;A30&amp;" thru "&amp;A39</f>
        <v>Sum Lines 20 thru 29</v>
      </c>
      <c r="K41" s="45">
        <f t="shared" si="2"/>
        <v>31</v>
      </c>
      <c r="M41" s="46"/>
      <c r="N41" s="46"/>
    </row>
    <row r="42" spans="1:14" s="685" customFormat="1" x14ac:dyDescent="0.45">
      <c r="A42" s="45">
        <f t="shared" si="0"/>
        <v>32</v>
      </c>
      <c r="B42" s="117"/>
      <c r="C42" s="46"/>
      <c r="D42" s="125"/>
      <c r="E42" s="125"/>
      <c r="F42" s="125"/>
      <c r="G42" s="126"/>
      <c r="H42" s="127"/>
      <c r="I42" s="128"/>
      <c r="J42" s="103"/>
      <c r="K42" s="45">
        <f t="shared" si="2"/>
        <v>32</v>
      </c>
      <c r="M42" s="46"/>
      <c r="N42" s="46"/>
    </row>
    <row r="43" spans="1:14" s="685" customFormat="1" ht="16.149999999999999" thickBot="1" x14ac:dyDescent="0.55000000000000004">
      <c r="A43" s="45">
        <f t="shared" si="0"/>
        <v>33</v>
      </c>
      <c r="B43" s="91"/>
      <c r="C43" s="685" t="s">
        <v>116</v>
      </c>
      <c r="D43" s="129">
        <f>D27+D41</f>
        <v>96429.353000000003</v>
      </c>
      <c r="E43" s="129">
        <f>+E27+E41</f>
        <v>60337.947820000001</v>
      </c>
      <c r="F43" s="129">
        <f>+F27+F41</f>
        <v>36091.405180000002</v>
      </c>
      <c r="G43" s="130" t="s">
        <v>16</v>
      </c>
      <c r="H43" s="131">
        <f>+H27+H41</f>
        <v>-2294.73</v>
      </c>
      <c r="I43" s="129">
        <f>+I27+I41</f>
        <v>33796.675179999998</v>
      </c>
      <c r="J43" s="103" t="str">
        <f>"Line "&amp;A27&amp;" + Line "&amp;A41</f>
        <v>Line 17 + Line 31</v>
      </c>
      <c r="K43" s="45">
        <f t="shared" si="2"/>
        <v>33</v>
      </c>
      <c r="M43" s="46"/>
      <c r="N43" s="46"/>
    </row>
    <row r="44" spans="1:14" s="685" customFormat="1" ht="15.75" thickTop="1" x14ac:dyDescent="0.45">
      <c r="A44" s="45">
        <f t="shared" si="0"/>
        <v>34</v>
      </c>
      <c r="B44" s="91"/>
      <c r="D44" s="128"/>
      <c r="E44" s="128"/>
      <c r="F44" s="128"/>
      <c r="G44" s="126"/>
      <c r="H44" s="127"/>
      <c r="I44" s="128"/>
      <c r="J44" s="103"/>
      <c r="K44" s="45">
        <f t="shared" si="2"/>
        <v>34</v>
      </c>
      <c r="M44" s="46"/>
      <c r="N44" s="46"/>
    </row>
    <row r="45" spans="1:14" s="685" customFormat="1" ht="17.25" x14ac:dyDescent="0.45">
      <c r="A45" s="45">
        <f t="shared" si="0"/>
        <v>35</v>
      </c>
      <c r="B45" s="100">
        <v>413</v>
      </c>
      <c r="C45" s="46" t="s">
        <v>419</v>
      </c>
      <c r="D45" s="591">
        <v>53.468710000000002</v>
      </c>
      <c r="E45" s="591">
        <v>0</v>
      </c>
      <c r="F45" s="591">
        <f>D45-E45</f>
        <v>53.468710000000002</v>
      </c>
      <c r="G45" s="592"/>
      <c r="H45" s="593"/>
      <c r="I45" s="591">
        <f t="shared" ref="I45" si="10">F45+H45</f>
        <v>53.468710000000002</v>
      </c>
      <c r="J45" s="182"/>
      <c r="K45" s="45">
        <f t="shared" si="2"/>
        <v>35</v>
      </c>
      <c r="M45" s="46"/>
      <c r="N45" s="46"/>
    </row>
    <row r="46" spans="1:14" s="685" customFormat="1" x14ac:dyDescent="0.45">
      <c r="A46" s="45">
        <f t="shared" si="0"/>
        <v>36</v>
      </c>
      <c r="B46" s="91"/>
      <c r="D46" s="128"/>
      <c r="E46" s="128"/>
      <c r="F46" s="128"/>
      <c r="G46" s="126"/>
      <c r="H46" s="127"/>
      <c r="I46" s="128"/>
      <c r="J46" s="103"/>
      <c r="K46" s="45">
        <f t="shared" si="2"/>
        <v>36</v>
      </c>
      <c r="M46" s="46"/>
      <c r="N46" s="46"/>
    </row>
    <row r="47" spans="1:14" s="685" customFormat="1" ht="16.149999999999999" thickBot="1" x14ac:dyDescent="0.55000000000000004">
      <c r="A47" s="45">
        <f t="shared" si="0"/>
        <v>37</v>
      </c>
      <c r="B47" s="91"/>
      <c r="C47" s="685" t="s">
        <v>420</v>
      </c>
      <c r="D47" s="129">
        <f>D43+D45</f>
        <v>96482.821710000004</v>
      </c>
      <c r="E47" s="129">
        <f>E43+E45</f>
        <v>60337.947820000001</v>
      </c>
      <c r="F47" s="129">
        <f>F43+F45</f>
        <v>36144.873890000003</v>
      </c>
      <c r="G47" s="130" t="s">
        <v>16</v>
      </c>
      <c r="H47" s="131">
        <f>H43+H45</f>
        <v>-2294.73</v>
      </c>
      <c r="I47" s="129">
        <f>I43+I45</f>
        <v>33850.143889999999</v>
      </c>
      <c r="J47" s="103" t="str">
        <f>"Line "&amp;A43&amp;" + Line "&amp;A45</f>
        <v>Line 33 + Line 35</v>
      </c>
      <c r="K47" s="45">
        <f t="shared" si="2"/>
        <v>37</v>
      </c>
      <c r="M47" s="46"/>
      <c r="N47" s="46"/>
    </row>
    <row r="48" spans="1:14" ht="16.149999999999999" thickTop="1" thickBot="1" x14ac:dyDescent="0.5">
      <c r="A48" s="45">
        <f t="shared" si="0"/>
        <v>38</v>
      </c>
      <c r="B48" s="132"/>
      <c r="C48" s="133"/>
      <c r="D48" s="134"/>
      <c r="E48" s="135"/>
      <c r="F48" s="134"/>
      <c r="G48" s="136"/>
      <c r="H48" s="137"/>
      <c r="I48" s="134"/>
      <c r="J48" s="138"/>
      <c r="K48" s="45">
        <f t="shared" si="2"/>
        <v>38</v>
      </c>
    </row>
    <row r="49" spans="1:11" x14ac:dyDescent="0.45">
      <c r="A49" s="45">
        <f t="shared" si="0"/>
        <v>39</v>
      </c>
      <c r="B49" s="139"/>
      <c r="D49" s="140"/>
      <c r="E49" s="119"/>
      <c r="F49" s="140"/>
      <c r="G49" s="140"/>
      <c r="H49" s="140"/>
      <c r="I49" s="140"/>
      <c r="J49" s="141"/>
      <c r="K49" s="45">
        <f t="shared" si="2"/>
        <v>39</v>
      </c>
    </row>
    <row r="50" spans="1:11" s="20" customFormat="1" x14ac:dyDescent="0.45">
      <c r="A50" s="45">
        <f t="shared" si="0"/>
        <v>40</v>
      </c>
      <c r="B50" s="598" t="s">
        <v>421</v>
      </c>
      <c r="D50" s="599"/>
      <c r="E50" s="600"/>
      <c r="F50" s="599"/>
      <c r="G50" s="599"/>
      <c r="H50" s="599"/>
      <c r="I50" s="599"/>
      <c r="J50" s="21"/>
      <c r="K50" s="45">
        <f t="shared" si="2"/>
        <v>40</v>
      </c>
    </row>
    <row r="51" spans="1:11" s="20" customFormat="1" x14ac:dyDescent="0.45">
      <c r="A51" s="45">
        <f t="shared" si="0"/>
        <v>41</v>
      </c>
      <c r="B51" s="601" t="s">
        <v>117</v>
      </c>
      <c r="C51" s="20" t="s">
        <v>118</v>
      </c>
      <c r="D51" s="599"/>
      <c r="E51" s="602">
        <v>132.11562000000001</v>
      </c>
      <c r="F51" s="599"/>
      <c r="G51" s="599"/>
      <c r="H51" s="599"/>
      <c r="I51" s="599"/>
      <c r="J51" s="21"/>
      <c r="K51" s="45">
        <f t="shared" si="2"/>
        <v>41</v>
      </c>
    </row>
    <row r="52" spans="1:11" s="20" customFormat="1" x14ac:dyDescent="0.45">
      <c r="A52" s="45">
        <f t="shared" si="0"/>
        <v>42</v>
      </c>
      <c r="B52" s="601">
        <v>561.4</v>
      </c>
      <c r="C52" s="20" t="s">
        <v>119</v>
      </c>
      <c r="D52" s="599"/>
      <c r="E52" s="33">
        <v>5093.2442599999995</v>
      </c>
      <c r="F52" s="603"/>
      <c r="G52" s="603"/>
      <c r="H52" s="603"/>
      <c r="I52" s="603"/>
      <c r="J52" s="21"/>
      <c r="K52" s="45">
        <f t="shared" si="2"/>
        <v>42</v>
      </c>
    </row>
    <row r="53" spans="1:11" s="20" customFormat="1" x14ac:dyDescent="0.45">
      <c r="A53" s="45">
        <f t="shared" si="0"/>
        <v>43</v>
      </c>
      <c r="B53" s="601">
        <v>561.79999999999995</v>
      </c>
      <c r="C53" s="20" t="s">
        <v>120</v>
      </c>
      <c r="D53" s="599"/>
      <c r="E53" s="33">
        <v>2418.7412800000002</v>
      </c>
      <c r="F53" s="603"/>
      <c r="G53" s="603"/>
      <c r="H53" s="603"/>
      <c r="I53" s="603"/>
      <c r="J53" s="21"/>
      <c r="K53" s="45">
        <f t="shared" si="2"/>
        <v>43</v>
      </c>
    </row>
    <row r="54" spans="1:11" s="20" customFormat="1" ht="17.649999999999999" x14ac:dyDescent="0.45">
      <c r="A54" s="45">
        <f t="shared" si="0"/>
        <v>44</v>
      </c>
      <c r="B54" s="601">
        <v>562</v>
      </c>
      <c r="C54" s="604" t="s">
        <v>413</v>
      </c>
      <c r="D54" s="599"/>
      <c r="E54" s="33">
        <v>6283.7089999999998</v>
      </c>
      <c r="F54" s="603"/>
      <c r="G54" s="603"/>
      <c r="H54" s="603"/>
      <c r="I54" s="603"/>
      <c r="J54" s="21"/>
      <c r="K54" s="45">
        <f t="shared" si="2"/>
        <v>44</v>
      </c>
    </row>
    <row r="55" spans="1:11" s="20" customFormat="1" x14ac:dyDescent="0.45">
      <c r="A55" s="45">
        <f t="shared" si="0"/>
        <v>45</v>
      </c>
      <c r="B55" s="601">
        <v>563</v>
      </c>
      <c r="C55" s="604" t="s">
        <v>414</v>
      </c>
      <c r="D55" s="599"/>
      <c r="E55" s="33">
        <v>8316.0300000000007</v>
      </c>
      <c r="F55" s="603"/>
      <c r="G55" s="603"/>
      <c r="H55" s="603"/>
      <c r="I55" s="603"/>
      <c r="J55" s="21"/>
      <c r="K55" s="45">
        <f t="shared" si="2"/>
        <v>45</v>
      </c>
    </row>
    <row r="56" spans="1:11" s="20" customFormat="1" x14ac:dyDescent="0.45">
      <c r="A56" s="45">
        <f t="shared" si="0"/>
        <v>46</v>
      </c>
      <c r="B56" s="601">
        <v>565</v>
      </c>
      <c r="C56" s="20" t="s">
        <v>121</v>
      </c>
      <c r="D56" s="599"/>
      <c r="E56" s="33">
        <v>0</v>
      </c>
      <c r="F56" s="603"/>
      <c r="G56" s="603"/>
      <c r="H56" s="603"/>
      <c r="I56" s="603"/>
      <c r="J56" s="21"/>
      <c r="K56" s="45">
        <f t="shared" si="2"/>
        <v>46</v>
      </c>
    </row>
    <row r="57" spans="1:11" s="20" customFormat="1" x14ac:dyDescent="0.45">
      <c r="A57" s="45">
        <f t="shared" si="0"/>
        <v>47</v>
      </c>
      <c r="B57" s="601">
        <v>566</v>
      </c>
      <c r="C57" s="20" t="s">
        <v>422</v>
      </c>
      <c r="D57" s="599"/>
      <c r="E57" s="33"/>
      <c r="F57" s="599"/>
      <c r="G57" s="599"/>
      <c r="H57" s="599"/>
      <c r="I57" s="599"/>
      <c r="J57" s="21"/>
      <c r="K57" s="45">
        <f t="shared" si="2"/>
        <v>47</v>
      </c>
    </row>
    <row r="58" spans="1:11" s="20" customFormat="1" x14ac:dyDescent="0.45">
      <c r="A58" s="45">
        <f t="shared" si="0"/>
        <v>48</v>
      </c>
      <c r="B58" s="605"/>
      <c r="C58" s="20" t="s">
        <v>423</v>
      </c>
      <c r="D58" s="36">
        <v>251.79454000000001</v>
      </c>
      <c r="E58" s="33"/>
      <c r="F58" s="599"/>
      <c r="G58" s="599"/>
      <c r="H58" s="599"/>
      <c r="I58" s="599"/>
      <c r="J58" s="21"/>
      <c r="K58" s="45">
        <f t="shared" si="2"/>
        <v>48</v>
      </c>
    </row>
    <row r="59" spans="1:11" s="20" customFormat="1" x14ac:dyDescent="0.45">
      <c r="A59" s="45">
        <f t="shared" si="0"/>
        <v>49</v>
      </c>
      <c r="B59" s="605"/>
      <c r="C59" s="20" t="s">
        <v>424</v>
      </c>
      <c r="D59" s="33">
        <v>0</v>
      </c>
      <c r="E59" s="33"/>
      <c r="F59" s="599"/>
      <c r="G59" s="599"/>
      <c r="H59" s="599"/>
      <c r="I59" s="599"/>
      <c r="J59" s="21"/>
      <c r="K59" s="45">
        <f t="shared" si="2"/>
        <v>49</v>
      </c>
    </row>
    <row r="60" spans="1:11" s="20" customFormat="1" x14ac:dyDescent="0.45">
      <c r="A60" s="45">
        <f t="shared" si="0"/>
        <v>50</v>
      </c>
      <c r="B60" s="605"/>
      <c r="C60" s="20" t="s">
        <v>425</v>
      </c>
      <c r="D60" s="33">
        <v>2588.4315500000002</v>
      </c>
      <c r="E60" s="33"/>
      <c r="F60" s="599"/>
      <c r="G60" s="599"/>
      <c r="H60" s="599"/>
      <c r="I60" s="599"/>
      <c r="J60" s="21"/>
      <c r="K60" s="45">
        <f t="shared" si="2"/>
        <v>50</v>
      </c>
    </row>
    <row r="61" spans="1:11" s="20" customFormat="1" x14ac:dyDescent="0.45">
      <c r="A61" s="45">
        <f t="shared" si="0"/>
        <v>51</v>
      </c>
      <c r="B61" s="605"/>
      <c r="C61" s="20" t="s">
        <v>426</v>
      </c>
      <c r="D61" s="33">
        <v>700.79813999999988</v>
      </c>
      <c r="E61" s="33"/>
      <c r="F61" s="599"/>
      <c r="G61" s="599"/>
      <c r="H61" s="599"/>
      <c r="I61" s="599"/>
      <c r="J61" s="21"/>
      <c r="K61" s="45">
        <f t="shared" si="2"/>
        <v>51</v>
      </c>
    </row>
    <row r="62" spans="1:11" s="20" customFormat="1" x14ac:dyDescent="0.45">
      <c r="A62" s="45">
        <f t="shared" si="0"/>
        <v>52</v>
      </c>
      <c r="B62" s="605"/>
      <c r="C62" s="20" t="s">
        <v>427</v>
      </c>
      <c r="D62" s="606">
        <v>-354.97856999999999</v>
      </c>
      <c r="E62" s="33">
        <f>SUM(D58:D62)</f>
        <v>3186.0456599999998</v>
      </c>
      <c r="F62" s="603"/>
      <c r="G62" s="603"/>
      <c r="H62" s="603"/>
      <c r="I62" s="603"/>
      <c r="J62" s="21"/>
      <c r="K62" s="45">
        <f t="shared" si="2"/>
        <v>52</v>
      </c>
    </row>
    <row r="63" spans="1:11" s="20" customFormat="1" ht="17.649999999999999" x14ac:dyDescent="0.45">
      <c r="A63" s="45">
        <f t="shared" si="0"/>
        <v>53</v>
      </c>
      <c r="B63" s="601">
        <v>570</v>
      </c>
      <c r="C63" s="607" t="s">
        <v>428</v>
      </c>
      <c r="D63" s="33"/>
      <c r="E63" s="33">
        <v>16048.173000000001</v>
      </c>
      <c r="F63" s="603"/>
      <c r="G63" s="603"/>
      <c r="H63" s="603"/>
      <c r="I63" s="603"/>
      <c r="J63" s="21"/>
      <c r="K63" s="45">
        <f t="shared" si="2"/>
        <v>53</v>
      </c>
    </row>
    <row r="64" spans="1:11" s="20" customFormat="1" ht="17.649999999999999" x14ac:dyDescent="0.45">
      <c r="A64" s="45">
        <f t="shared" si="0"/>
        <v>54</v>
      </c>
      <c r="B64" s="601">
        <v>571</v>
      </c>
      <c r="C64" s="607" t="s">
        <v>429</v>
      </c>
      <c r="D64" s="33"/>
      <c r="E64" s="33">
        <v>18139.88</v>
      </c>
      <c r="F64" s="603"/>
      <c r="G64" s="603"/>
      <c r="H64" s="603"/>
      <c r="I64" s="603"/>
      <c r="J64" s="21"/>
      <c r="K64" s="45">
        <f t="shared" si="2"/>
        <v>54</v>
      </c>
    </row>
    <row r="65" spans="1:11" s="20" customFormat="1" ht="17.649999999999999" x14ac:dyDescent="0.45">
      <c r="A65" s="45">
        <f t="shared" si="0"/>
        <v>55</v>
      </c>
      <c r="B65" s="601">
        <v>572</v>
      </c>
      <c r="C65" s="608" t="s">
        <v>417</v>
      </c>
      <c r="D65" s="33"/>
      <c r="E65" s="606">
        <v>720.00900000000001</v>
      </c>
      <c r="F65" s="599"/>
      <c r="G65" s="599"/>
      <c r="H65" s="599"/>
      <c r="I65" s="599"/>
      <c r="J65" s="21"/>
      <c r="K65" s="45">
        <f t="shared" si="2"/>
        <v>55</v>
      </c>
    </row>
    <row r="66" spans="1:11" s="20" customFormat="1" x14ac:dyDescent="0.45">
      <c r="A66" s="45">
        <f t="shared" si="0"/>
        <v>56</v>
      </c>
      <c r="B66" s="609"/>
      <c r="D66" s="599"/>
      <c r="E66" s="610"/>
      <c r="F66" s="599"/>
      <c r="G66" s="599"/>
      <c r="H66" s="599"/>
      <c r="I66" s="599"/>
      <c r="J66" s="21"/>
      <c r="K66" s="45">
        <f t="shared" si="2"/>
        <v>56</v>
      </c>
    </row>
    <row r="67" spans="1:11" s="20" customFormat="1" ht="15.75" thickBot="1" x14ac:dyDescent="0.5">
      <c r="A67" s="45">
        <f t="shared" si="0"/>
        <v>57</v>
      </c>
      <c r="B67" s="611"/>
      <c r="C67" s="612" t="s">
        <v>122</v>
      </c>
      <c r="D67" s="599"/>
      <c r="E67" s="37">
        <f>SUM(E51:E65)</f>
        <v>60337.947819999994</v>
      </c>
      <c r="F67" s="599"/>
      <c r="G67" s="599"/>
      <c r="H67" s="599"/>
      <c r="I67" s="599"/>
      <c r="J67" s="21"/>
      <c r="K67" s="45">
        <f t="shared" si="2"/>
        <v>57</v>
      </c>
    </row>
    <row r="68" spans="1:11" s="20" customFormat="1" ht="15.75" thickTop="1" x14ac:dyDescent="0.45">
      <c r="A68" s="45">
        <f t="shared" si="0"/>
        <v>58</v>
      </c>
      <c r="B68" s="611"/>
      <c r="C68" s="612"/>
      <c r="D68" s="599"/>
      <c r="E68" s="35"/>
      <c r="F68" s="599"/>
      <c r="G68" s="599"/>
      <c r="H68" s="599"/>
      <c r="I68" s="599"/>
      <c r="J68" s="21"/>
      <c r="K68" s="45">
        <f t="shared" si="2"/>
        <v>58</v>
      </c>
    </row>
    <row r="69" spans="1:11" s="20" customFormat="1" ht="15.75" x14ac:dyDescent="0.5">
      <c r="A69" s="45">
        <f t="shared" si="0"/>
        <v>59</v>
      </c>
      <c r="B69" s="77" t="s">
        <v>16</v>
      </c>
      <c r="C69" s="25" t="s">
        <v>288</v>
      </c>
      <c r="D69" s="599"/>
      <c r="E69" s="35"/>
      <c r="F69" s="599"/>
      <c r="G69" s="599"/>
      <c r="H69" s="599"/>
      <c r="I69" s="599"/>
      <c r="J69" s="21"/>
      <c r="K69" s="45">
        <f t="shared" si="2"/>
        <v>59</v>
      </c>
    </row>
    <row r="70" spans="1:11" s="20" customFormat="1" ht="17.649999999999999" x14ac:dyDescent="0.45">
      <c r="A70" s="45">
        <f t="shared" si="0"/>
        <v>60</v>
      </c>
      <c r="B70" s="613">
        <v>1</v>
      </c>
      <c r="C70" s="607" t="s">
        <v>430</v>
      </c>
      <c r="D70" s="599"/>
      <c r="E70" s="34"/>
      <c r="F70" s="599"/>
      <c r="G70" s="599"/>
      <c r="H70" s="599"/>
      <c r="I70" s="599"/>
      <c r="J70" s="21"/>
      <c r="K70" s="45">
        <f t="shared" si="2"/>
        <v>60</v>
      </c>
    </row>
    <row r="71" spans="1:11" s="20" customFormat="1" ht="17.649999999999999" x14ac:dyDescent="0.45">
      <c r="A71" s="45">
        <f t="shared" si="0"/>
        <v>61</v>
      </c>
      <c r="B71" s="613"/>
      <c r="C71" s="607" t="s">
        <v>431</v>
      </c>
      <c r="D71" s="599"/>
      <c r="E71" s="34"/>
      <c r="F71" s="599"/>
      <c r="G71" s="599"/>
      <c r="H71" s="599"/>
      <c r="I71" s="599"/>
      <c r="J71" s="21"/>
      <c r="K71" s="45">
        <f t="shared" si="2"/>
        <v>61</v>
      </c>
    </row>
    <row r="72" spans="1:11" s="20" customFormat="1" ht="17.649999999999999" x14ac:dyDescent="0.45">
      <c r="A72" s="45">
        <f t="shared" si="0"/>
        <v>62</v>
      </c>
      <c r="B72" s="613">
        <v>2</v>
      </c>
      <c r="C72" s="607" t="s">
        <v>432</v>
      </c>
      <c r="E72" s="34"/>
      <c r="J72" s="21"/>
      <c r="K72" s="45">
        <f t="shared" si="2"/>
        <v>62</v>
      </c>
    </row>
    <row r="73" spans="1:11" s="20" customFormat="1" ht="17.649999999999999" x14ac:dyDescent="0.45">
      <c r="A73" s="45">
        <f t="shared" si="0"/>
        <v>63</v>
      </c>
      <c r="B73" s="613">
        <v>3</v>
      </c>
      <c r="C73" s="607" t="s">
        <v>633</v>
      </c>
      <c r="E73" s="34"/>
      <c r="J73" s="21"/>
      <c r="K73" s="45">
        <f t="shared" si="2"/>
        <v>63</v>
      </c>
    </row>
    <row r="74" spans="1:11" s="20" customFormat="1" ht="17.649999999999999" x14ac:dyDescent="0.45">
      <c r="A74" s="45">
        <f t="shared" si="0"/>
        <v>64</v>
      </c>
      <c r="B74" s="613"/>
      <c r="C74" s="607" t="s">
        <v>433</v>
      </c>
      <c r="E74" s="34"/>
      <c r="J74" s="21"/>
      <c r="K74" s="45">
        <f t="shared" si="2"/>
        <v>64</v>
      </c>
    </row>
    <row r="75" spans="1:11" s="20" customFormat="1" ht="17.649999999999999" x14ac:dyDescent="0.45">
      <c r="A75" s="45">
        <f t="shared" si="0"/>
        <v>65</v>
      </c>
      <c r="B75" s="613">
        <v>4</v>
      </c>
      <c r="C75" s="46" t="s">
        <v>651</v>
      </c>
      <c r="E75" s="34"/>
      <c r="J75" s="21"/>
      <c r="K75" s="45">
        <f t="shared" si="2"/>
        <v>65</v>
      </c>
    </row>
    <row r="76" spans="1:11" s="20" customFormat="1" ht="17.649999999999999" x14ac:dyDescent="0.45">
      <c r="A76" s="45">
        <f t="shared" si="0"/>
        <v>66</v>
      </c>
      <c r="B76" s="613"/>
      <c r="C76" s="46" t="s">
        <v>652</v>
      </c>
      <c r="E76" s="34"/>
      <c r="J76" s="21"/>
      <c r="K76" s="45">
        <f t="shared" si="2"/>
        <v>66</v>
      </c>
    </row>
    <row r="77" spans="1:11" ht="15.75" thickBot="1" x14ac:dyDescent="0.5">
      <c r="A77" s="45">
        <f t="shared" ref="A77" si="11">A76+1</f>
        <v>67</v>
      </c>
      <c r="B77" s="143"/>
      <c r="C77" s="133"/>
      <c r="D77" s="133"/>
      <c r="E77" s="144"/>
      <c r="F77" s="133"/>
      <c r="G77" s="133"/>
      <c r="H77" s="133"/>
      <c r="I77" s="133"/>
      <c r="J77" s="138"/>
      <c r="K77" s="45">
        <f t="shared" ref="K77" si="12">K76+1</f>
        <v>67</v>
      </c>
    </row>
    <row r="78" spans="1:11" x14ac:dyDescent="0.45">
      <c r="A78" s="45"/>
      <c r="B78" s="145"/>
    </row>
    <row r="79" spans="1:11" ht="17.25" x14ac:dyDescent="0.45">
      <c r="A79" s="45"/>
      <c r="B79" s="614"/>
      <c r="C79" s="20"/>
      <c r="D79" s="289"/>
      <c r="E79" s="289"/>
      <c r="F79" s="289"/>
      <c r="G79" s="289"/>
      <c r="H79" s="289"/>
      <c r="I79" s="289"/>
    </row>
    <row r="80" spans="1:11" ht="17.25" x14ac:dyDescent="0.45">
      <c r="A80" s="45"/>
      <c r="B80" s="614"/>
      <c r="C80" s="570"/>
      <c r="D80" s="289"/>
      <c r="E80" s="289"/>
      <c r="F80" s="289"/>
      <c r="G80" s="289"/>
      <c r="H80" s="289"/>
      <c r="I80" s="289"/>
    </row>
    <row r="81" spans="1:9" ht="17.25" x14ac:dyDescent="0.45">
      <c r="A81" s="45"/>
      <c r="B81" s="614"/>
      <c r="C81" s="570"/>
      <c r="D81" s="289"/>
      <c r="E81" s="289"/>
      <c r="F81" s="289"/>
      <c r="G81" s="289"/>
      <c r="H81" s="289"/>
      <c r="I81" s="289"/>
    </row>
    <row r="82" spans="1:9" x14ac:dyDescent="0.45">
      <c r="A82" s="45"/>
      <c r="B82" s="145"/>
    </row>
    <row r="83" spans="1:9" x14ac:dyDescent="0.45">
      <c r="A83" s="45"/>
      <c r="B83" s="145"/>
    </row>
    <row r="84" spans="1:9" x14ac:dyDescent="0.45">
      <c r="A84" s="45"/>
      <c r="B84" s="145"/>
    </row>
    <row r="85" spans="1:9" x14ac:dyDescent="0.45">
      <c r="A85" s="45"/>
      <c r="B85" s="145"/>
    </row>
    <row r="86" spans="1:9" x14ac:dyDescent="0.45">
      <c r="A86" s="45"/>
      <c r="B86" s="145"/>
    </row>
    <row r="87" spans="1:9" x14ac:dyDescent="0.45">
      <c r="A87" s="45"/>
      <c r="B87" s="145"/>
    </row>
    <row r="88" spans="1:9" x14ac:dyDescent="0.45">
      <c r="A88" s="45"/>
      <c r="B88" s="145"/>
    </row>
    <row r="89" spans="1:9" x14ac:dyDescent="0.45">
      <c r="A89" s="45"/>
      <c r="B89" s="145"/>
    </row>
    <row r="90" spans="1:9" x14ac:dyDescent="0.45">
      <c r="A90" s="45"/>
      <c r="B90" s="145"/>
    </row>
    <row r="91" spans="1:9" x14ac:dyDescent="0.45">
      <c r="A91" s="45"/>
      <c r="B91" s="145"/>
      <c r="E91" s="46"/>
    </row>
    <row r="92" spans="1:9" x14ac:dyDescent="0.45">
      <c r="A92" s="45"/>
      <c r="B92" s="145"/>
      <c r="E92" s="46"/>
    </row>
    <row r="93" spans="1:9" x14ac:dyDescent="0.45">
      <c r="A93" s="45"/>
      <c r="B93" s="145"/>
      <c r="E93" s="46"/>
    </row>
    <row r="94" spans="1:9" x14ac:dyDescent="0.45">
      <c r="A94" s="45"/>
      <c r="B94" s="145"/>
      <c r="E94" s="46"/>
    </row>
    <row r="95" spans="1:9" x14ac:dyDescent="0.45">
      <c r="A95" s="45"/>
      <c r="B95" s="145"/>
      <c r="E95" s="46"/>
    </row>
    <row r="96" spans="1:9" x14ac:dyDescent="0.45">
      <c r="A96" s="45"/>
      <c r="B96" s="145"/>
      <c r="E96" s="46"/>
    </row>
    <row r="97" spans="1:5" x14ac:dyDescent="0.45">
      <c r="A97" s="45"/>
      <c r="B97" s="145"/>
      <c r="E97" s="46"/>
    </row>
    <row r="98" spans="1:5" x14ac:dyDescent="0.45">
      <c r="A98" s="45"/>
      <c r="B98" s="145"/>
      <c r="E98" s="46"/>
    </row>
    <row r="99" spans="1:5" x14ac:dyDescent="0.45">
      <c r="A99" s="45"/>
      <c r="B99" s="145"/>
      <c r="E99" s="46"/>
    </row>
    <row r="100" spans="1:5" x14ac:dyDescent="0.45">
      <c r="A100" s="45"/>
      <c r="B100" s="145"/>
      <c r="E100" s="46"/>
    </row>
    <row r="101" spans="1:5" x14ac:dyDescent="0.45">
      <c r="A101" s="45"/>
      <c r="B101" s="145"/>
      <c r="E101" s="46"/>
    </row>
    <row r="102" spans="1:5" x14ac:dyDescent="0.45">
      <c r="A102" s="45"/>
      <c r="B102" s="145"/>
      <c r="E102" s="46"/>
    </row>
    <row r="103" spans="1:5" x14ac:dyDescent="0.45">
      <c r="A103" s="45"/>
      <c r="B103" s="145"/>
      <c r="E103" s="46"/>
    </row>
    <row r="104" spans="1:5" x14ac:dyDescent="0.45">
      <c r="A104" s="45"/>
      <c r="B104" s="145"/>
      <c r="E104" s="46"/>
    </row>
    <row r="105" spans="1:5" x14ac:dyDescent="0.45">
      <c r="B105" s="145"/>
      <c r="E105" s="46"/>
    </row>
    <row r="106" spans="1:5" x14ac:dyDescent="0.45">
      <c r="B106" s="145"/>
      <c r="E106" s="46"/>
    </row>
    <row r="107" spans="1:5" x14ac:dyDescent="0.45">
      <c r="B107" s="145"/>
      <c r="E107" s="46"/>
    </row>
    <row r="108" spans="1:5" x14ac:dyDescent="0.45">
      <c r="B108" s="145"/>
      <c r="E108" s="46"/>
    </row>
    <row r="109" spans="1:5" x14ac:dyDescent="0.45">
      <c r="B109" s="145"/>
      <c r="E109" s="46"/>
    </row>
    <row r="110" spans="1:5" x14ac:dyDescent="0.45">
      <c r="B110" s="145"/>
      <c r="E110" s="46"/>
    </row>
    <row r="111" spans="1:5" x14ac:dyDescent="0.45">
      <c r="B111" s="145"/>
      <c r="E111" s="46"/>
    </row>
    <row r="112" spans="1:5" x14ac:dyDescent="0.45">
      <c r="B112" s="145"/>
      <c r="E112" s="46"/>
    </row>
    <row r="113" spans="2:5" x14ac:dyDescent="0.45">
      <c r="B113" s="145"/>
      <c r="E113" s="46"/>
    </row>
    <row r="114" spans="2:5" x14ac:dyDescent="0.45">
      <c r="B114" s="145"/>
      <c r="E114" s="46"/>
    </row>
    <row r="115" spans="2:5" x14ac:dyDescent="0.45">
      <c r="B115" s="145"/>
      <c r="E115" s="46"/>
    </row>
    <row r="116" spans="2:5" x14ac:dyDescent="0.45">
      <c r="B116" s="145"/>
      <c r="E116" s="46"/>
    </row>
    <row r="117" spans="2:5" x14ac:dyDescent="0.45">
      <c r="B117" s="145"/>
      <c r="E117" s="46"/>
    </row>
    <row r="118" spans="2:5" x14ac:dyDescent="0.45">
      <c r="B118" s="145"/>
      <c r="E118" s="46"/>
    </row>
    <row r="119" spans="2:5" x14ac:dyDescent="0.45">
      <c r="B119" s="145"/>
      <c r="E119" s="46"/>
    </row>
    <row r="120" spans="2:5" x14ac:dyDescent="0.45">
      <c r="B120" s="145"/>
      <c r="E120" s="46"/>
    </row>
    <row r="121" spans="2:5" x14ac:dyDescent="0.45">
      <c r="B121" s="145"/>
      <c r="E121" s="46"/>
    </row>
    <row r="122" spans="2:5" x14ac:dyDescent="0.45">
      <c r="B122" s="145"/>
      <c r="E122" s="46"/>
    </row>
    <row r="123" spans="2:5" x14ac:dyDescent="0.45">
      <c r="B123" s="145"/>
      <c r="E123" s="46"/>
    </row>
    <row r="124" spans="2:5" x14ac:dyDescent="0.45">
      <c r="B124" s="145"/>
      <c r="E124" s="46"/>
    </row>
    <row r="125" spans="2:5" x14ac:dyDescent="0.45">
      <c r="B125" s="145"/>
      <c r="E125" s="46"/>
    </row>
    <row r="126" spans="2:5" x14ac:dyDescent="0.45">
      <c r="B126" s="145"/>
      <c r="E126" s="46"/>
    </row>
    <row r="127" spans="2:5" x14ac:dyDescent="0.45">
      <c r="B127" s="145"/>
      <c r="E127" s="46"/>
    </row>
    <row r="128" spans="2:5" x14ac:dyDescent="0.45">
      <c r="B128" s="145"/>
      <c r="E128" s="46"/>
    </row>
    <row r="129" spans="2:5" x14ac:dyDescent="0.45">
      <c r="B129" s="145"/>
      <c r="E129" s="46"/>
    </row>
    <row r="130" spans="2:5" x14ac:dyDescent="0.45">
      <c r="B130" s="145"/>
      <c r="E130" s="46"/>
    </row>
    <row r="131" spans="2:5" x14ac:dyDescent="0.45">
      <c r="B131" s="145"/>
      <c r="E131" s="46"/>
    </row>
    <row r="132" spans="2:5" x14ac:dyDescent="0.45">
      <c r="B132" s="145"/>
      <c r="E132" s="46"/>
    </row>
    <row r="133" spans="2:5" x14ac:dyDescent="0.45">
      <c r="B133" s="145"/>
      <c r="E133" s="46"/>
    </row>
    <row r="134" spans="2:5" x14ac:dyDescent="0.45">
      <c r="B134" s="145"/>
      <c r="E134" s="46"/>
    </row>
    <row r="135" spans="2:5" x14ac:dyDescent="0.45">
      <c r="B135" s="145"/>
      <c r="E135" s="46"/>
    </row>
    <row r="136" spans="2:5" x14ac:dyDescent="0.45">
      <c r="B136" s="145"/>
      <c r="E136" s="46"/>
    </row>
    <row r="137" spans="2:5" x14ac:dyDescent="0.45">
      <c r="B137" s="145"/>
      <c r="E137" s="46"/>
    </row>
    <row r="138" spans="2:5" x14ac:dyDescent="0.45">
      <c r="B138" s="145"/>
      <c r="E138" s="46"/>
    </row>
    <row r="139" spans="2:5" x14ac:dyDescent="0.45">
      <c r="B139" s="145"/>
      <c r="E139" s="46"/>
    </row>
    <row r="140" spans="2:5" x14ac:dyDescent="0.45">
      <c r="B140" s="145"/>
      <c r="E140" s="46"/>
    </row>
    <row r="141" spans="2:5" x14ac:dyDescent="0.45">
      <c r="B141" s="145"/>
      <c r="E141" s="46"/>
    </row>
    <row r="142" spans="2:5" x14ac:dyDescent="0.45">
      <c r="B142" s="145"/>
      <c r="E142" s="46"/>
    </row>
    <row r="143" spans="2:5" x14ac:dyDescent="0.45">
      <c r="B143" s="145"/>
      <c r="E143" s="46"/>
    </row>
    <row r="144" spans="2:5" x14ac:dyDescent="0.45">
      <c r="B144" s="145"/>
      <c r="E144" s="46"/>
    </row>
    <row r="145" spans="2:5" x14ac:dyDescent="0.45">
      <c r="B145" s="145"/>
      <c r="E145" s="46"/>
    </row>
    <row r="146" spans="2:5" x14ac:dyDescent="0.45">
      <c r="B146" s="145"/>
      <c r="E146" s="46"/>
    </row>
    <row r="147" spans="2:5" x14ac:dyDescent="0.45">
      <c r="B147" s="145"/>
      <c r="E147" s="46"/>
    </row>
    <row r="148" spans="2:5" x14ac:dyDescent="0.45">
      <c r="B148" s="145"/>
      <c r="E148" s="46"/>
    </row>
    <row r="149" spans="2:5" x14ac:dyDescent="0.45">
      <c r="B149" s="145"/>
      <c r="E149" s="46"/>
    </row>
    <row r="150" spans="2:5" x14ac:dyDescent="0.45">
      <c r="B150" s="145"/>
      <c r="E150" s="46"/>
    </row>
    <row r="151" spans="2:5" x14ac:dyDescent="0.45">
      <c r="B151" s="145"/>
      <c r="E151" s="46"/>
    </row>
    <row r="152" spans="2:5" x14ac:dyDescent="0.45">
      <c r="B152" s="145"/>
      <c r="E152" s="46"/>
    </row>
    <row r="153" spans="2:5" x14ac:dyDescent="0.45">
      <c r="B153" s="145"/>
      <c r="E153" s="46"/>
    </row>
    <row r="154" spans="2:5" x14ac:dyDescent="0.45">
      <c r="B154" s="145"/>
      <c r="E154" s="46"/>
    </row>
    <row r="155" spans="2:5" x14ac:dyDescent="0.45">
      <c r="B155" s="145"/>
      <c r="E155" s="46"/>
    </row>
    <row r="156" spans="2:5" x14ac:dyDescent="0.45">
      <c r="B156" s="145"/>
      <c r="E156" s="46"/>
    </row>
    <row r="157" spans="2:5" x14ac:dyDescent="0.45">
      <c r="B157" s="145"/>
      <c r="E157" s="46"/>
    </row>
    <row r="158" spans="2:5" x14ac:dyDescent="0.45">
      <c r="B158" s="145"/>
      <c r="E158" s="46"/>
    </row>
    <row r="159" spans="2:5" x14ac:dyDescent="0.45">
      <c r="B159" s="145"/>
      <c r="E159" s="46"/>
    </row>
    <row r="160" spans="2:5" x14ac:dyDescent="0.45">
      <c r="B160" s="145"/>
      <c r="E160" s="46"/>
    </row>
    <row r="161" spans="2:5" x14ac:dyDescent="0.45">
      <c r="B161" s="145"/>
      <c r="E161" s="46"/>
    </row>
    <row r="162" spans="2:5" x14ac:dyDescent="0.45">
      <c r="B162" s="145"/>
      <c r="E162" s="46"/>
    </row>
    <row r="163" spans="2:5" x14ac:dyDescent="0.45">
      <c r="B163" s="145"/>
      <c r="E163" s="46"/>
    </row>
    <row r="164" spans="2:5" x14ac:dyDescent="0.45">
      <c r="B164" s="145"/>
      <c r="E164" s="46"/>
    </row>
    <row r="165" spans="2:5" x14ac:dyDescent="0.45">
      <c r="B165" s="145"/>
      <c r="E165" s="46"/>
    </row>
    <row r="166" spans="2:5" x14ac:dyDescent="0.45">
      <c r="B166" s="145"/>
      <c r="E166" s="46"/>
    </row>
    <row r="167" spans="2:5" x14ac:dyDescent="0.45">
      <c r="B167" s="145"/>
      <c r="E167" s="46"/>
    </row>
    <row r="168" spans="2:5" x14ac:dyDescent="0.45">
      <c r="B168" s="145"/>
      <c r="E168" s="46"/>
    </row>
    <row r="169" spans="2:5" x14ac:dyDescent="0.45">
      <c r="B169" s="145"/>
      <c r="E169" s="46"/>
    </row>
    <row r="170" spans="2:5" x14ac:dyDescent="0.45">
      <c r="B170" s="145"/>
      <c r="E170" s="46"/>
    </row>
    <row r="171" spans="2:5" x14ac:dyDescent="0.45">
      <c r="B171" s="145"/>
      <c r="E171" s="46"/>
    </row>
    <row r="172" spans="2:5" x14ac:dyDescent="0.45">
      <c r="B172" s="145"/>
      <c r="E172" s="46"/>
    </row>
    <row r="173" spans="2:5" x14ac:dyDescent="0.45">
      <c r="B173" s="145"/>
      <c r="E173" s="46"/>
    </row>
    <row r="174" spans="2:5" x14ac:dyDescent="0.45">
      <c r="B174" s="145"/>
      <c r="E174" s="46"/>
    </row>
    <row r="175" spans="2:5" x14ac:dyDescent="0.45">
      <c r="B175" s="145"/>
      <c r="E175" s="46"/>
    </row>
    <row r="176" spans="2:5" x14ac:dyDescent="0.45">
      <c r="B176" s="145"/>
      <c r="E176" s="46"/>
    </row>
    <row r="177" spans="2:5" x14ac:dyDescent="0.45">
      <c r="B177" s="145"/>
      <c r="E177" s="46"/>
    </row>
    <row r="178" spans="2:5" x14ac:dyDescent="0.45">
      <c r="B178" s="145"/>
      <c r="E178" s="46"/>
    </row>
    <row r="179" spans="2:5" x14ac:dyDescent="0.45">
      <c r="B179" s="145"/>
      <c r="E179" s="46"/>
    </row>
    <row r="180" spans="2:5" x14ac:dyDescent="0.45">
      <c r="B180" s="145"/>
      <c r="E180" s="46"/>
    </row>
    <row r="181" spans="2:5" x14ac:dyDescent="0.45">
      <c r="B181" s="145"/>
      <c r="E181" s="46"/>
    </row>
    <row r="182" spans="2:5" x14ac:dyDescent="0.45">
      <c r="B182" s="145"/>
      <c r="E182" s="46"/>
    </row>
    <row r="183" spans="2:5" x14ac:dyDescent="0.45">
      <c r="B183" s="145"/>
      <c r="E183" s="46"/>
    </row>
    <row r="184" spans="2:5" x14ac:dyDescent="0.45">
      <c r="B184" s="145"/>
      <c r="E184" s="46"/>
    </row>
    <row r="185" spans="2:5" x14ac:dyDescent="0.45">
      <c r="B185" s="145"/>
      <c r="E185" s="46"/>
    </row>
    <row r="186" spans="2:5" x14ac:dyDescent="0.45">
      <c r="B186" s="145"/>
      <c r="E186" s="46"/>
    </row>
    <row r="187" spans="2:5" x14ac:dyDescent="0.45">
      <c r="B187" s="145"/>
      <c r="E187" s="46"/>
    </row>
    <row r="188" spans="2:5" x14ac:dyDescent="0.45">
      <c r="B188" s="145"/>
      <c r="E188" s="46"/>
    </row>
    <row r="189" spans="2:5" x14ac:dyDescent="0.45">
      <c r="B189" s="145"/>
      <c r="E189" s="46"/>
    </row>
    <row r="190" spans="2:5" x14ac:dyDescent="0.45">
      <c r="B190" s="145"/>
      <c r="E190" s="46"/>
    </row>
    <row r="191" spans="2:5" x14ac:dyDescent="0.45">
      <c r="B191" s="145"/>
      <c r="E191" s="46"/>
    </row>
    <row r="192" spans="2:5" x14ac:dyDescent="0.45">
      <c r="B192" s="145"/>
      <c r="E192" s="46"/>
    </row>
    <row r="193" spans="2:5" x14ac:dyDescent="0.45">
      <c r="B193" s="145"/>
      <c r="E193" s="46"/>
    </row>
    <row r="194" spans="2:5" x14ac:dyDescent="0.45">
      <c r="B194" s="145"/>
      <c r="E194" s="46"/>
    </row>
    <row r="195" spans="2:5" x14ac:dyDescent="0.45">
      <c r="B195" s="145"/>
      <c r="E195" s="46"/>
    </row>
    <row r="196" spans="2:5" x14ac:dyDescent="0.45">
      <c r="B196" s="145"/>
      <c r="E196" s="46"/>
    </row>
    <row r="197" spans="2:5" x14ac:dyDescent="0.45">
      <c r="B197" s="145"/>
      <c r="E197" s="46"/>
    </row>
    <row r="198" spans="2:5" x14ac:dyDescent="0.45">
      <c r="B198" s="145"/>
      <c r="E198" s="46"/>
    </row>
    <row r="199" spans="2:5" x14ac:dyDescent="0.45">
      <c r="B199" s="145"/>
      <c r="E199" s="46"/>
    </row>
    <row r="200" spans="2:5" x14ac:dyDescent="0.45">
      <c r="B200" s="145"/>
      <c r="E200" s="46"/>
    </row>
    <row r="201" spans="2:5" x14ac:dyDescent="0.45">
      <c r="B201" s="145"/>
      <c r="E201" s="46"/>
    </row>
    <row r="202" spans="2:5" x14ac:dyDescent="0.45">
      <c r="B202" s="145"/>
      <c r="E202" s="46"/>
    </row>
    <row r="203" spans="2:5" x14ac:dyDescent="0.45">
      <c r="B203" s="145"/>
      <c r="E203" s="46"/>
    </row>
    <row r="204" spans="2:5" x14ac:dyDescent="0.45">
      <c r="B204" s="145"/>
      <c r="E204" s="46"/>
    </row>
    <row r="205" spans="2:5" x14ac:dyDescent="0.45">
      <c r="B205" s="145"/>
      <c r="E205" s="46"/>
    </row>
    <row r="206" spans="2:5" x14ac:dyDescent="0.45">
      <c r="B206" s="145"/>
      <c r="E206" s="46"/>
    </row>
    <row r="207" spans="2:5" x14ac:dyDescent="0.45">
      <c r="B207" s="145"/>
      <c r="E207" s="46"/>
    </row>
    <row r="208" spans="2:5" x14ac:dyDescent="0.45">
      <c r="B208" s="145"/>
      <c r="E208" s="46"/>
    </row>
    <row r="209" spans="2:5" x14ac:dyDescent="0.45">
      <c r="B209" s="145"/>
      <c r="E209" s="46"/>
    </row>
    <row r="210" spans="2:5" x14ac:dyDescent="0.45">
      <c r="B210" s="145"/>
      <c r="E210" s="46"/>
    </row>
    <row r="211" spans="2:5" x14ac:dyDescent="0.45">
      <c r="B211" s="145"/>
      <c r="E211" s="46"/>
    </row>
    <row r="212" spans="2:5" x14ac:dyDescent="0.45">
      <c r="B212" s="145"/>
      <c r="E212" s="46"/>
    </row>
    <row r="213" spans="2:5" x14ac:dyDescent="0.45">
      <c r="B213" s="145"/>
      <c r="E213" s="46"/>
    </row>
    <row r="214" spans="2:5" x14ac:dyDescent="0.45">
      <c r="B214" s="145"/>
      <c r="E214" s="46"/>
    </row>
    <row r="215" spans="2:5" x14ac:dyDescent="0.45">
      <c r="B215" s="145"/>
      <c r="E215" s="46"/>
    </row>
    <row r="216" spans="2:5" x14ac:dyDescent="0.45">
      <c r="B216" s="145"/>
      <c r="E216" s="46"/>
    </row>
    <row r="217" spans="2:5" x14ac:dyDescent="0.45">
      <c r="B217" s="145"/>
      <c r="E217" s="46"/>
    </row>
    <row r="218" spans="2:5" x14ac:dyDescent="0.45">
      <c r="B218" s="145"/>
      <c r="E218" s="46"/>
    </row>
    <row r="219" spans="2:5" x14ac:dyDescent="0.45">
      <c r="B219" s="145"/>
      <c r="E219" s="46"/>
    </row>
    <row r="220" spans="2:5" x14ac:dyDescent="0.45">
      <c r="B220" s="145"/>
      <c r="E220" s="46"/>
    </row>
    <row r="221" spans="2:5" x14ac:dyDescent="0.45">
      <c r="B221" s="145"/>
      <c r="E221" s="46"/>
    </row>
    <row r="222" spans="2:5" x14ac:dyDescent="0.45">
      <c r="B222" s="145"/>
      <c r="E222" s="46"/>
    </row>
    <row r="223" spans="2:5" x14ac:dyDescent="0.45">
      <c r="B223" s="145"/>
      <c r="E223" s="46"/>
    </row>
    <row r="224" spans="2:5" x14ac:dyDescent="0.45">
      <c r="B224" s="145"/>
      <c r="E224" s="46"/>
    </row>
    <row r="225" spans="2:5" x14ac:dyDescent="0.45">
      <c r="B225" s="145"/>
      <c r="E225" s="46"/>
    </row>
    <row r="226" spans="2:5" x14ac:dyDescent="0.45">
      <c r="B226" s="145"/>
      <c r="E226" s="46"/>
    </row>
    <row r="227" spans="2:5" x14ac:dyDescent="0.45">
      <c r="B227" s="145"/>
      <c r="E227" s="46"/>
    </row>
    <row r="228" spans="2:5" x14ac:dyDescent="0.45">
      <c r="B228" s="145"/>
      <c r="E228" s="46"/>
    </row>
    <row r="229" spans="2:5" x14ac:dyDescent="0.45">
      <c r="B229" s="145"/>
      <c r="E229" s="46"/>
    </row>
    <row r="230" spans="2:5" x14ac:dyDescent="0.45">
      <c r="B230" s="145"/>
      <c r="E230" s="46"/>
    </row>
    <row r="231" spans="2:5" x14ac:dyDescent="0.45">
      <c r="B231" s="145"/>
      <c r="E231" s="46"/>
    </row>
    <row r="232" spans="2:5" x14ac:dyDescent="0.45">
      <c r="B232" s="145"/>
      <c r="E232" s="46"/>
    </row>
    <row r="233" spans="2:5" x14ac:dyDescent="0.45">
      <c r="B233" s="145"/>
      <c r="E233" s="46"/>
    </row>
    <row r="234" spans="2:5" x14ac:dyDescent="0.45">
      <c r="B234" s="145"/>
      <c r="E234" s="46"/>
    </row>
    <row r="235" spans="2:5" x14ac:dyDescent="0.45">
      <c r="B235" s="145"/>
      <c r="E235" s="46"/>
    </row>
    <row r="236" spans="2:5" x14ac:dyDescent="0.45">
      <c r="B236" s="145"/>
      <c r="E236" s="46"/>
    </row>
    <row r="237" spans="2:5" x14ac:dyDescent="0.45">
      <c r="B237" s="145"/>
      <c r="E237" s="46"/>
    </row>
    <row r="238" spans="2:5" x14ac:dyDescent="0.45">
      <c r="B238" s="145"/>
      <c r="E238" s="46"/>
    </row>
    <row r="239" spans="2:5" x14ac:dyDescent="0.45">
      <c r="B239" s="145"/>
      <c r="E239" s="46"/>
    </row>
    <row r="240" spans="2:5" x14ac:dyDescent="0.45">
      <c r="B240" s="145"/>
      <c r="E240" s="46"/>
    </row>
    <row r="241" spans="2:5" x14ac:dyDescent="0.45">
      <c r="B241" s="145"/>
      <c r="E241" s="46"/>
    </row>
    <row r="242" spans="2:5" x14ac:dyDescent="0.45">
      <c r="B242" s="145"/>
      <c r="E242" s="46"/>
    </row>
    <row r="243" spans="2:5" x14ac:dyDescent="0.45">
      <c r="B243" s="145"/>
      <c r="E243" s="46"/>
    </row>
    <row r="244" spans="2:5" x14ac:dyDescent="0.45">
      <c r="B244" s="145"/>
      <c r="E244" s="46"/>
    </row>
    <row r="245" spans="2:5" x14ac:dyDescent="0.45">
      <c r="B245" s="145"/>
      <c r="E245" s="46"/>
    </row>
    <row r="246" spans="2:5" x14ac:dyDescent="0.45">
      <c r="B246" s="145"/>
      <c r="E246" s="46"/>
    </row>
    <row r="247" spans="2:5" x14ac:dyDescent="0.45">
      <c r="B247" s="145"/>
      <c r="E247" s="46"/>
    </row>
    <row r="248" spans="2:5" x14ac:dyDescent="0.45">
      <c r="B248" s="145"/>
      <c r="E248" s="46"/>
    </row>
    <row r="249" spans="2:5" x14ac:dyDescent="0.45">
      <c r="B249" s="145"/>
      <c r="E249" s="46"/>
    </row>
    <row r="250" spans="2:5" x14ac:dyDescent="0.45">
      <c r="B250" s="145"/>
      <c r="E250" s="46"/>
    </row>
    <row r="251" spans="2:5" x14ac:dyDescent="0.45">
      <c r="B251" s="145"/>
      <c r="E251" s="46"/>
    </row>
    <row r="252" spans="2:5" x14ac:dyDescent="0.45">
      <c r="B252" s="145"/>
      <c r="E252" s="46"/>
    </row>
    <row r="253" spans="2:5" x14ac:dyDescent="0.45">
      <c r="B253" s="145"/>
      <c r="E253" s="46"/>
    </row>
    <row r="254" spans="2:5" x14ac:dyDescent="0.45">
      <c r="B254" s="145"/>
      <c r="E254" s="46"/>
    </row>
    <row r="255" spans="2:5" x14ac:dyDescent="0.45">
      <c r="B255" s="145"/>
      <c r="E255" s="46"/>
    </row>
    <row r="256" spans="2:5" x14ac:dyDescent="0.45">
      <c r="B256" s="145"/>
      <c r="E256" s="46"/>
    </row>
    <row r="257" spans="2:5" x14ac:dyDescent="0.45">
      <c r="B257" s="145"/>
      <c r="E257" s="46"/>
    </row>
    <row r="258" spans="2:5" x14ac:dyDescent="0.45">
      <c r="B258" s="145"/>
      <c r="E258" s="46"/>
    </row>
    <row r="259" spans="2:5" x14ac:dyDescent="0.45">
      <c r="B259" s="145"/>
      <c r="E259" s="46"/>
    </row>
    <row r="260" spans="2:5" x14ac:dyDescent="0.45">
      <c r="B260" s="145"/>
      <c r="E260" s="46"/>
    </row>
    <row r="261" spans="2:5" x14ac:dyDescent="0.45">
      <c r="B261" s="145"/>
      <c r="E261" s="46"/>
    </row>
    <row r="262" spans="2:5" x14ac:dyDescent="0.45">
      <c r="B262" s="145"/>
      <c r="E262" s="46"/>
    </row>
    <row r="263" spans="2:5" x14ac:dyDescent="0.45">
      <c r="B263" s="145"/>
      <c r="E263" s="46"/>
    </row>
    <row r="264" spans="2:5" x14ac:dyDescent="0.45">
      <c r="B264" s="145"/>
      <c r="E264" s="46"/>
    </row>
    <row r="265" spans="2:5" x14ac:dyDescent="0.45">
      <c r="B265" s="145"/>
      <c r="E265" s="46"/>
    </row>
    <row r="266" spans="2:5" x14ac:dyDescent="0.45">
      <c r="B266" s="145"/>
      <c r="E266" s="46"/>
    </row>
    <row r="267" spans="2:5" x14ac:dyDescent="0.45">
      <c r="B267" s="145"/>
      <c r="E267" s="46"/>
    </row>
    <row r="268" spans="2:5" x14ac:dyDescent="0.45">
      <c r="B268" s="145"/>
      <c r="E268" s="46"/>
    </row>
    <row r="269" spans="2:5" x14ac:dyDescent="0.45">
      <c r="B269" s="145"/>
      <c r="E269" s="46"/>
    </row>
    <row r="270" spans="2:5" x14ac:dyDescent="0.45">
      <c r="B270" s="145"/>
      <c r="E270" s="46"/>
    </row>
    <row r="271" spans="2:5" x14ac:dyDescent="0.45">
      <c r="B271" s="145"/>
      <c r="E271" s="46"/>
    </row>
    <row r="272" spans="2:5" x14ac:dyDescent="0.45">
      <c r="B272" s="145"/>
      <c r="E272" s="46"/>
    </row>
    <row r="273" spans="2:5" x14ac:dyDescent="0.45">
      <c r="B273" s="145"/>
      <c r="E273" s="46"/>
    </row>
    <row r="274" spans="2:5" x14ac:dyDescent="0.45">
      <c r="B274" s="145"/>
      <c r="E274" s="46"/>
    </row>
    <row r="275" spans="2:5" x14ac:dyDescent="0.45">
      <c r="B275" s="145"/>
      <c r="E275" s="46"/>
    </row>
    <row r="276" spans="2:5" x14ac:dyDescent="0.45">
      <c r="B276" s="145"/>
      <c r="E276" s="46"/>
    </row>
    <row r="277" spans="2:5" x14ac:dyDescent="0.45">
      <c r="B277" s="145"/>
      <c r="E277" s="46"/>
    </row>
    <row r="278" spans="2:5" x14ac:dyDescent="0.45">
      <c r="B278" s="145"/>
      <c r="E278" s="46"/>
    </row>
    <row r="279" spans="2:5" x14ac:dyDescent="0.45">
      <c r="B279" s="145"/>
      <c r="E279" s="46"/>
    </row>
    <row r="280" spans="2:5" x14ac:dyDescent="0.45">
      <c r="B280" s="145"/>
      <c r="E280" s="46"/>
    </row>
    <row r="281" spans="2:5" x14ac:dyDescent="0.45">
      <c r="B281" s="145"/>
      <c r="E281" s="46"/>
    </row>
    <row r="282" spans="2:5" x14ac:dyDescent="0.45">
      <c r="B282" s="145"/>
      <c r="E282" s="46"/>
    </row>
    <row r="283" spans="2:5" x14ac:dyDescent="0.45">
      <c r="B283" s="145"/>
      <c r="E283" s="46"/>
    </row>
    <row r="284" spans="2:5" x14ac:dyDescent="0.45">
      <c r="B284" s="145"/>
      <c r="E284" s="46"/>
    </row>
    <row r="285" spans="2:5" x14ac:dyDescent="0.45">
      <c r="B285" s="145"/>
      <c r="E285" s="46"/>
    </row>
    <row r="286" spans="2:5" x14ac:dyDescent="0.45">
      <c r="B286" s="145"/>
      <c r="E286" s="46"/>
    </row>
    <row r="287" spans="2:5" x14ac:dyDescent="0.45">
      <c r="B287" s="145"/>
      <c r="E287" s="46"/>
    </row>
    <row r="288" spans="2:5" x14ac:dyDescent="0.45">
      <c r="B288" s="145"/>
      <c r="E288" s="46"/>
    </row>
    <row r="289" spans="2:5" x14ac:dyDescent="0.45">
      <c r="B289" s="145"/>
      <c r="E289" s="46"/>
    </row>
    <row r="290" spans="2:5" x14ac:dyDescent="0.45">
      <c r="B290" s="145"/>
      <c r="E290" s="46"/>
    </row>
    <row r="291" spans="2:5" x14ac:dyDescent="0.45">
      <c r="B291" s="145"/>
      <c r="E291" s="46"/>
    </row>
    <row r="292" spans="2:5" x14ac:dyDescent="0.45">
      <c r="B292" s="145"/>
      <c r="E292" s="46"/>
    </row>
    <row r="293" spans="2:5" x14ac:dyDescent="0.45">
      <c r="B293" s="145"/>
      <c r="E293" s="46"/>
    </row>
    <row r="294" spans="2:5" x14ac:dyDescent="0.45">
      <c r="B294" s="145"/>
      <c r="E294" s="46"/>
    </row>
    <row r="295" spans="2:5" x14ac:dyDescent="0.45">
      <c r="B295" s="145"/>
      <c r="E295" s="46"/>
    </row>
    <row r="296" spans="2:5" x14ac:dyDescent="0.45">
      <c r="B296" s="145"/>
      <c r="E296" s="46"/>
    </row>
    <row r="297" spans="2:5" x14ac:dyDescent="0.45">
      <c r="B297" s="145"/>
      <c r="E297" s="46"/>
    </row>
    <row r="298" spans="2:5" x14ac:dyDescent="0.45">
      <c r="B298" s="145"/>
      <c r="E298" s="46"/>
    </row>
    <row r="299" spans="2:5" x14ac:dyDescent="0.45">
      <c r="B299" s="145"/>
      <c r="E299" s="46"/>
    </row>
    <row r="300" spans="2:5" x14ac:dyDescent="0.45">
      <c r="B300" s="145"/>
      <c r="E300" s="46"/>
    </row>
    <row r="301" spans="2:5" x14ac:dyDescent="0.45">
      <c r="B301" s="145"/>
      <c r="E301" s="46"/>
    </row>
    <row r="302" spans="2:5" x14ac:dyDescent="0.45">
      <c r="B302" s="145"/>
      <c r="E302" s="46"/>
    </row>
    <row r="303" spans="2:5" x14ac:dyDescent="0.45">
      <c r="B303" s="145"/>
      <c r="E303" s="46"/>
    </row>
    <row r="304" spans="2:5" x14ac:dyDescent="0.45">
      <c r="B304" s="145"/>
      <c r="E304" s="46"/>
    </row>
    <row r="305" spans="2:5" x14ac:dyDescent="0.45">
      <c r="B305" s="145"/>
      <c r="E305" s="46"/>
    </row>
    <row r="306" spans="2:5" x14ac:dyDescent="0.45">
      <c r="B306" s="145"/>
      <c r="E306" s="46"/>
    </row>
    <row r="307" spans="2:5" x14ac:dyDescent="0.45">
      <c r="B307" s="145"/>
      <c r="E307" s="46"/>
    </row>
    <row r="308" spans="2:5" x14ac:dyDescent="0.45">
      <c r="B308" s="145"/>
      <c r="E308" s="46"/>
    </row>
    <row r="309" spans="2:5" x14ac:dyDescent="0.45">
      <c r="B309" s="145"/>
      <c r="E309" s="46"/>
    </row>
    <row r="310" spans="2:5" x14ac:dyDescent="0.45">
      <c r="B310" s="145"/>
      <c r="E310" s="46"/>
    </row>
    <row r="311" spans="2:5" x14ac:dyDescent="0.45">
      <c r="B311" s="145"/>
      <c r="E311" s="46"/>
    </row>
    <row r="312" spans="2:5" x14ac:dyDescent="0.45">
      <c r="B312" s="145"/>
      <c r="E312" s="46"/>
    </row>
    <row r="313" spans="2:5" x14ac:dyDescent="0.45">
      <c r="B313" s="145"/>
      <c r="E313" s="46"/>
    </row>
    <row r="314" spans="2:5" x14ac:dyDescent="0.45">
      <c r="B314" s="145"/>
      <c r="E314" s="46"/>
    </row>
    <row r="315" spans="2:5" x14ac:dyDescent="0.45">
      <c r="B315" s="145"/>
      <c r="E315" s="46"/>
    </row>
    <row r="316" spans="2:5" x14ac:dyDescent="0.45">
      <c r="B316" s="145"/>
      <c r="E316" s="46"/>
    </row>
    <row r="317" spans="2:5" x14ac:dyDescent="0.45">
      <c r="B317" s="145"/>
      <c r="E317" s="46"/>
    </row>
    <row r="318" spans="2:5" x14ac:dyDescent="0.45">
      <c r="B318" s="145"/>
      <c r="E318" s="46"/>
    </row>
    <row r="319" spans="2:5" x14ac:dyDescent="0.45">
      <c r="B319" s="145"/>
      <c r="E319" s="46"/>
    </row>
    <row r="320" spans="2:5" x14ac:dyDescent="0.45">
      <c r="B320" s="145"/>
      <c r="E320" s="46"/>
    </row>
    <row r="321" spans="2:5" x14ac:dyDescent="0.45">
      <c r="B321" s="145"/>
      <c r="E321" s="46"/>
    </row>
    <row r="322" spans="2:5" x14ac:dyDescent="0.45">
      <c r="B322" s="145"/>
      <c r="E322" s="46"/>
    </row>
    <row r="323" spans="2:5" x14ac:dyDescent="0.45">
      <c r="B323" s="145"/>
      <c r="E323" s="46"/>
    </row>
    <row r="324" spans="2:5" x14ac:dyDescent="0.45">
      <c r="B324" s="145"/>
      <c r="E324" s="46"/>
    </row>
    <row r="325" spans="2:5" x14ac:dyDescent="0.45">
      <c r="B325" s="145"/>
      <c r="E325" s="46"/>
    </row>
    <row r="326" spans="2:5" x14ac:dyDescent="0.45">
      <c r="B326" s="145"/>
      <c r="E326" s="46"/>
    </row>
    <row r="327" spans="2:5" x14ac:dyDescent="0.45">
      <c r="B327" s="145"/>
      <c r="E327" s="46"/>
    </row>
    <row r="328" spans="2:5" x14ac:dyDescent="0.45">
      <c r="B328" s="145"/>
      <c r="E328" s="46"/>
    </row>
    <row r="329" spans="2:5" x14ac:dyDescent="0.45">
      <c r="B329" s="145"/>
      <c r="E329" s="46"/>
    </row>
    <row r="330" spans="2:5" x14ac:dyDescent="0.45">
      <c r="B330" s="145"/>
      <c r="E330" s="46"/>
    </row>
    <row r="331" spans="2:5" x14ac:dyDescent="0.45">
      <c r="B331" s="145"/>
      <c r="E331" s="46"/>
    </row>
    <row r="332" spans="2:5" x14ac:dyDescent="0.45">
      <c r="B332" s="145"/>
      <c r="E332" s="46"/>
    </row>
    <row r="333" spans="2:5" x14ac:dyDescent="0.45">
      <c r="B333" s="145"/>
      <c r="E333" s="46"/>
    </row>
    <row r="334" spans="2:5" x14ac:dyDescent="0.45">
      <c r="B334" s="145"/>
      <c r="E334" s="46"/>
    </row>
    <row r="335" spans="2:5" x14ac:dyDescent="0.45">
      <c r="B335" s="145"/>
      <c r="E335" s="46"/>
    </row>
    <row r="336" spans="2:5" x14ac:dyDescent="0.45">
      <c r="B336" s="145"/>
      <c r="E336" s="46"/>
    </row>
    <row r="337" spans="2:5" x14ac:dyDescent="0.45">
      <c r="B337" s="145"/>
      <c r="E337" s="46"/>
    </row>
    <row r="338" spans="2:5" x14ac:dyDescent="0.45">
      <c r="B338" s="145"/>
      <c r="E338" s="46"/>
    </row>
    <row r="339" spans="2:5" x14ac:dyDescent="0.45">
      <c r="B339" s="145"/>
      <c r="E339" s="46"/>
    </row>
    <row r="340" spans="2:5" x14ac:dyDescent="0.45">
      <c r="B340" s="145"/>
      <c r="E340" s="46"/>
    </row>
    <row r="341" spans="2:5" x14ac:dyDescent="0.45">
      <c r="B341" s="145"/>
      <c r="E341" s="46"/>
    </row>
    <row r="342" spans="2:5" x14ac:dyDescent="0.45">
      <c r="B342" s="145"/>
      <c r="E342" s="46"/>
    </row>
    <row r="343" spans="2:5" x14ac:dyDescent="0.45">
      <c r="B343" s="145"/>
      <c r="E343" s="46"/>
    </row>
    <row r="344" spans="2:5" x14ac:dyDescent="0.45">
      <c r="B344" s="145"/>
      <c r="E344" s="46"/>
    </row>
    <row r="345" spans="2:5" x14ac:dyDescent="0.45">
      <c r="B345" s="145"/>
      <c r="E345" s="46"/>
    </row>
    <row r="346" spans="2:5" x14ac:dyDescent="0.45">
      <c r="B346" s="145"/>
      <c r="E346" s="46"/>
    </row>
    <row r="347" spans="2:5" x14ac:dyDescent="0.45">
      <c r="B347" s="145"/>
      <c r="E347" s="46"/>
    </row>
    <row r="348" spans="2:5" x14ac:dyDescent="0.45">
      <c r="B348" s="145"/>
      <c r="E348" s="46"/>
    </row>
    <row r="349" spans="2:5" x14ac:dyDescent="0.45">
      <c r="B349" s="145"/>
      <c r="E349" s="46"/>
    </row>
    <row r="350" spans="2:5" x14ac:dyDescent="0.45">
      <c r="B350" s="145"/>
      <c r="E350" s="46"/>
    </row>
    <row r="351" spans="2:5" x14ac:dyDescent="0.45">
      <c r="B351" s="145"/>
      <c r="E351" s="46"/>
    </row>
    <row r="352" spans="2:5" x14ac:dyDescent="0.45">
      <c r="B352" s="145"/>
      <c r="E352" s="46"/>
    </row>
    <row r="353" spans="2:5" x14ac:dyDescent="0.45">
      <c r="B353" s="145"/>
      <c r="E353" s="46"/>
    </row>
    <row r="354" spans="2:5" x14ac:dyDescent="0.45">
      <c r="B354" s="145"/>
      <c r="E354" s="46"/>
    </row>
    <row r="355" spans="2:5" x14ac:dyDescent="0.45">
      <c r="B355" s="145"/>
      <c r="E355" s="46"/>
    </row>
    <row r="356" spans="2:5" x14ac:dyDescent="0.45">
      <c r="B356" s="145"/>
      <c r="E356" s="46"/>
    </row>
    <row r="357" spans="2:5" x14ac:dyDescent="0.45">
      <c r="B357" s="145"/>
      <c r="E357" s="46"/>
    </row>
    <row r="358" spans="2:5" x14ac:dyDescent="0.45">
      <c r="B358" s="145"/>
      <c r="E358" s="46"/>
    </row>
    <row r="359" spans="2:5" x14ac:dyDescent="0.45">
      <c r="B359" s="145"/>
      <c r="E359" s="46"/>
    </row>
    <row r="360" spans="2:5" x14ac:dyDescent="0.45">
      <c r="B360" s="145"/>
      <c r="E360" s="46"/>
    </row>
    <row r="361" spans="2:5" x14ac:dyDescent="0.45">
      <c r="B361" s="145"/>
      <c r="E361" s="46"/>
    </row>
    <row r="362" spans="2:5" x14ac:dyDescent="0.45">
      <c r="B362" s="145"/>
      <c r="E362" s="46"/>
    </row>
    <row r="363" spans="2:5" x14ac:dyDescent="0.45">
      <c r="B363" s="145"/>
      <c r="E363" s="46"/>
    </row>
    <row r="364" spans="2:5" x14ac:dyDescent="0.45">
      <c r="B364" s="145"/>
      <c r="E364" s="46"/>
    </row>
    <row r="365" spans="2:5" x14ac:dyDescent="0.45">
      <c r="B365" s="145"/>
      <c r="E365" s="46"/>
    </row>
    <row r="366" spans="2:5" x14ac:dyDescent="0.45">
      <c r="B366" s="145"/>
      <c r="E366" s="46"/>
    </row>
    <row r="367" spans="2:5" x14ac:dyDescent="0.45">
      <c r="B367" s="145"/>
      <c r="E367" s="46"/>
    </row>
    <row r="368" spans="2:5" x14ac:dyDescent="0.45">
      <c r="B368" s="145"/>
      <c r="E368" s="46"/>
    </row>
    <row r="369" spans="2:5" x14ac:dyDescent="0.45">
      <c r="B369" s="145"/>
      <c r="E369" s="46"/>
    </row>
    <row r="370" spans="2:5" x14ac:dyDescent="0.45">
      <c r="B370" s="145"/>
      <c r="E370" s="46"/>
    </row>
    <row r="371" spans="2:5" x14ac:dyDescent="0.45">
      <c r="B371" s="145"/>
      <c r="E371" s="46"/>
    </row>
    <row r="372" spans="2:5" x14ac:dyDescent="0.45">
      <c r="B372" s="145"/>
      <c r="E372" s="46"/>
    </row>
    <row r="373" spans="2:5" x14ac:dyDescent="0.45">
      <c r="B373" s="145"/>
      <c r="E373" s="46"/>
    </row>
    <row r="374" spans="2:5" x14ac:dyDescent="0.45">
      <c r="B374" s="145"/>
      <c r="E374" s="46"/>
    </row>
    <row r="375" spans="2:5" x14ac:dyDescent="0.45">
      <c r="B375" s="145"/>
      <c r="E375" s="46"/>
    </row>
    <row r="376" spans="2:5" x14ac:dyDescent="0.45">
      <c r="B376" s="145"/>
      <c r="E376" s="46"/>
    </row>
    <row r="377" spans="2:5" x14ac:dyDescent="0.45">
      <c r="B377" s="145"/>
      <c r="E377" s="46"/>
    </row>
    <row r="378" spans="2:5" x14ac:dyDescent="0.45">
      <c r="B378" s="145"/>
      <c r="E378" s="46"/>
    </row>
    <row r="379" spans="2:5" x14ac:dyDescent="0.45">
      <c r="B379" s="145"/>
      <c r="E379" s="46"/>
    </row>
    <row r="380" spans="2:5" x14ac:dyDescent="0.45">
      <c r="B380" s="145"/>
      <c r="E380" s="46"/>
    </row>
    <row r="381" spans="2:5" x14ac:dyDescent="0.45">
      <c r="B381" s="145"/>
      <c r="E381" s="46"/>
    </row>
    <row r="382" spans="2:5" x14ac:dyDescent="0.45">
      <c r="B382" s="145"/>
      <c r="E382" s="46"/>
    </row>
    <row r="383" spans="2:5" x14ac:dyDescent="0.45">
      <c r="B383" s="145"/>
      <c r="E383" s="46"/>
    </row>
    <row r="384" spans="2:5" x14ac:dyDescent="0.45">
      <c r="B384" s="145"/>
      <c r="E384" s="46"/>
    </row>
    <row r="385" spans="2:5" x14ac:dyDescent="0.45">
      <c r="B385" s="145"/>
      <c r="E385" s="46"/>
    </row>
    <row r="386" spans="2:5" x14ac:dyDescent="0.45">
      <c r="B386" s="145"/>
      <c r="E386" s="46"/>
    </row>
    <row r="387" spans="2:5" x14ac:dyDescent="0.45">
      <c r="B387" s="145"/>
      <c r="E387" s="46"/>
    </row>
    <row r="388" spans="2:5" x14ac:dyDescent="0.45">
      <c r="B388" s="145"/>
      <c r="E388" s="46"/>
    </row>
    <row r="389" spans="2:5" x14ac:dyDescent="0.45">
      <c r="B389" s="145"/>
      <c r="E389" s="46"/>
    </row>
    <row r="390" spans="2:5" x14ac:dyDescent="0.45">
      <c r="B390" s="145"/>
      <c r="E390" s="46"/>
    </row>
    <row r="391" spans="2:5" x14ac:dyDescent="0.45">
      <c r="B391" s="145"/>
      <c r="E391" s="46"/>
    </row>
    <row r="392" spans="2:5" x14ac:dyDescent="0.45">
      <c r="B392" s="145"/>
      <c r="E392" s="46"/>
    </row>
    <row r="393" spans="2:5" x14ac:dyDescent="0.45">
      <c r="B393" s="145"/>
      <c r="E393" s="46"/>
    </row>
    <row r="394" spans="2:5" x14ac:dyDescent="0.45">
      <c r="B394" s="145"/>
      <c r="E394" s="46"/>
    </row>
    <row r="395" spans="2:5" x14ac:dyDescent="0.45">
      <c r="B395" s="145"/>
      <c r="E395" s="46"/>
    </row>
    <row r="396" spans="2:5" x14ac:dyDescent="0.45">
      <c r="B396" s="145"/>
      <c r="E396" s="46"/>
    </row>
    <row r="397" spans="2:5" x14ac:dyDescent="0.45">
      <c r="B397" s="145"/>
      <c r="E397" s="46"/>
    </row>
    <row r="398" spans="2:5" x14ac:dyDescent="0.45">
      <c r="B398" s="145"/>
      <c r="E398" s="46"/>
    </row>
    <row r="399" spans="2:5" x14ac:dyDescent="0.45">
      <c r="B399" s="145"/>
      <c r="E399" s="46"/>
    </row>
    <row r="400" spans="2:5" x14ac:dyDescent="0.45">
      <c r="B400" s="145"/>
      <c r="E400" s="46"/>
    </row>
    <row r="401" spans="2:5" x14ac:dyDescent="0.45">
      <c r="B401" s="145"/>
      <c r="E401" s="46"/>
    </row>
    <row r="402" spans="2:5" x14ac:dyDescent="0.45">
      <c r="B402" s="145"/>
      <c r="E402" s="46"/>
    </row>
    <row r="403" spans="2:5" x14ac:dyDescent="0.45">
      <c r="B403" s="145"/>
      <c r="E403" s="46"/>
    </row>
    <row r="404" spans="2:5" x14ac:dyDescent="0.45">
      <c r="B404" s="145"/>
      <c r="E404" s="46"/>
    </row>
    <row r="405" spans="2:5" x14ac:dyDescent="0.45">
      <c r="B405" s="145"/>
      <c r="E405" s="46"/>
    </row>
    <row r="406" spans="2:5" x14ac:dyDescent="0.45">
      <c r="B406" s="145"/>
      <c r="E406" s="46"/>
    </row>
    <row r="407" spans="2:5" x14ac:dyDescent="0.45">
      <c r="B407" s="145"/>
      <c r="E407" s="46"/>
    </row>
    <row r="408" spans="2:5" x14ac:dyDescent="0.45">
      <c r="B408" s="145"/>
      <c r="E408" s="46"/>
    </row>
    <row r="409" spans="2:5" x14ac:dyDescent="0.45">
      <c r="B409" s="145"/>
      <c r="E409" s="46"/>
    </row>
    <row r="410" spans="2:5" x14ac:dyDescent="0.45">
      <c r="B410" s="145"/>
      <c r="E410" s="46"/>
    </row>
    <row r="411" spans="2:5" x14ac:dyDescent="0.45">
      <c r="B411" s="145"/>
      <c r="E411" s="46"/>
    </row>
    <row r="412" spans="2:5" x14ac:dyDescent="0.45">
      <c r="B412" s="145"/>
      <c r="E412" s="46"/>
    </row>
    <row r="413" spans="2:5" x14ac:dyDescent="0.45">
      <c r="B413" s="145"/>
      <c r="E413" s="46"/>
    </row>
    <row r="414" spans="2:5" x14ac:dyDescent="0.45">
      <c r="B414" s="145"/>
      <c r="E414" s="46"/>
    </row>
    <row r="415" spans="2:5" x14ac:dyDescent="0.45">
      <c r="B415" s="145"/>
      <c r="E415" s="46"/>
    </row>
    <row r="416" spans="2:5" x14ac:dyDescent="0.45">
      <c r="B416" s="145"/>
      <c r="E416" s="46"/>
    </row>
    <row r="417" spans="2:5" x14ac:dyDescent="0.45">
      <c r="B417" s="145"/>
      <c r="E417" s="46"/>
    </row>
    <row r="418" spans="2:5" x14ac:dyDescent="0.45">
      <c r="B418" s="145"/>
      <c r="E418" s="46"/>
    </row>
    <row r="419" spans="2:5" x14ac:dyDescent="0.45">
      <c r="B419" s="145"/>
      <c r="E419" s="46"/>
    </row>
    <row r="420" spans="2:5" x14ac:dyDescent="0.45">
      <c r="B420" s="145"/>
      <c r="E420" s="46"/>
    </row>
    <row r="421" spans="2:5" x14ac:dyDescent="0.45">
      <c r="B421" s="145"/>
      <c r="E421" s="46"/>
    </row>
    <row r="422" spans="2:5" x14ac:dyDescent="0.45">
      <c r="B422" s="145"/>
      <c r="E422" s="46"/>
    </row>
    <row r="423" spans="2:5" x14ac:dyDescent="0.45">
      <c r="B423" s="145"/>
      <c r="E423" s="46"/>
    </row>
    <row r="424" spans="2:5" x14ac:dyDescent="0.45">
      <c r="B424" s="145"/>
      <c r="E424" s="46"/>
    </row>
    <row r="425" spans="2:5" x14ac:dyDescent="0.45">
      <c r="B425" s="145"/>
      <c r="E425" s="46"/>
    </row>
    <row r="426" spans="2:5" x14ac:dyDescent="0.45">
      <c r="B426" s="145"/>
      <c r="E426" s="46"/>
    </row>
    <row r="427" spans="2:5" x14ac:dyDescent="0.45">
      <c r="B427" s="145"/>
      <c r="E427" s="46"/>
    </row>
    <row r="428" spans="2:5" x14ac:dyDescent="0.45">
      <c r="B428" s="145"/>
      <c r="E428" s="46"/>
    </row>
    <row r="429" spans="2:5" x14ac:dyDescent="0.45">
      <c r="B429" s="145"/>
      <c r="E429" s="46"/>
    </row>
    <row r="430" spans="2:5" x14ac:dyDescent="0.45">
      <c r="B430" s="145"/>
      <c r="E430" s="46"/>
    </row>
  </sheetData>
  <mergeCells count="4">
    <mergeCell ref="B2:J2"/>
    <mergeCell ref="B3:J3"/>
    <mergeCell ref="B4:J4"/>
    <mergeCell ref="B5:J5"/>
  </mergeCells>
  <printOptions horizontalCentered="1"/>
  <pageMargins left="0.25" right="0.25" top="0.5" bottom="0.5" header="0.35" footer="0.25"/>
  <pageSetup scale="51" orientation="portrait" r:id="rId1"/>
  <headerFooter scaleWithDoc="0" alignWithMargins="0">
    <oddHeader>&amp;C&amp;"Times New Roman,Bold"REVISED</oddHeader>
    <oddFooter>&amp;CPage 7.1&amp;R&amp;F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8B7B-11AC-4A06-8AF1-90580E0BC2C7}">
  <sheetPr>
    <pageSetUpPr fitToPage="1"/>
  </sheetPr>
  <dimension ref="A1:O86"/>
  <sheetViews>
    <sheetView zoomScale="80" zoomScaleNormal="80" workbookViewId="0"/>
  </sheetViews>
  <sheetFormatPr defaultColWidth="9.1328125" defaultRowHeight="15.4" x14ac:dyDescent="0.45"/>
  <cols>
    <col min="1" max="1" width="5.1328125" style="146" customWidth="1"/>
    <col min="2" max="2" width="8.59765625" style="147" customWidth="1"/>
    <col min="3" max="3" width="68.86328125" style="147" customWidth="1"/>
    <col min="4" max="6" width="16.86328125" style="147" customWidth="1"/>
    <col min="7" max="7" width="1.59765625" style="147" customWidth="1"/>
    <col min="8" max="8" width="16.86328125" style="147" customWidth="1"/>
    <col min="9" max="9" width="2.86328125" style="147" bestFit="1" customWidth="1"/>
    <col min="10" max="10" width="16.86328125" style="147" customWidth="1"/>
    <col min="11" max="11" width="34.59765625" style="147" customWidth="1"/>
    <col min="12" max="12" width="5.1328125" style="146" customWidth="1"/>
    <col min="13" max="13" width="4" style="147" customWidth="1"/>
    <col min="14" max="14" width="13.1328125" style="147" bestFit="1" customWidth="1"/>
    <col min="15" max="15" width="9.1328125" style="147"/>
    <col min="16" max="16" width="9.86328125" style="147" customWidth="1"/>
    <col min="17" max="17" width="10" style="147" customWidth="1"/>
    <col min="18" max="16384" width="9.1328125" style="147"/>
  </cols>
  <sheetData>
    <row r="1" spans="1:15" x14ac:dyDescent="0.45">
      <c r="K1" s="47"/>
    </row>
    <row r="2" spans="1:15" x14ac:dyDescent="0.45">
      <c r="B2" s="811" t="s">
        <v>24</v>
      </c>
      <c r="C2" s="811"/>
      <c r="D2" s="811"/>
      <c r="E2" s="811"/>
      <c r="F2" s="811"/>
      <c r="G2" s="811"/>
      <c r="H2" s="811"/>
      <c r="I2" s="811"/>
      <c r="J2" s="811"/>
      <c r="K2" s="811"/>
      <c r="L2" s="686"/>
    </row>
    <row r="3" spans="1:15" x14ac:dyDescent="0.45">
      <c r="B3" s="811" t="s">
        <v>123</v>
      </c>
      <c r="C3" s="811"/>
      <c r="D3" s="811"/>
      <c r="E3" s="811"/>
      <c r="F3" s="811"/>
      <c r="G3" s="811"/>
      <c r="H3" s="811"/>
      <c r="I3" s="811"/>
      <c r="J3" s="811"/>
      <c r="K3" s="811"/>
      <c r="L3" s="686"/>
    </row>
    <row r="4" spans="1:15" x14ac:dyDescent="0.45">
      <c r="B4" s="811" t="s">
        <v>595</v>
      </c>
      <c r="C4" s="811"/>
      <c r="D4" s="811"/>
      <c r="E4" s="811"/>
      <c r="F4" s="811"/>
      <c r="G4" s="811"/>
      <c r="H4" s="811"/>
      <c r="I4" s="811"/>
      <c r="J4" s="811"/>
      <c r="K4" s="811"/>
      <c r="L4" s="686"/>
    </row>
    <row r="5" spans="1:15" x14ac:dyDescent="0.45">
      <c r="B5" s="812" t="s">
        <v>1</v>
      </c>
      <c r="C5" s="812"/>
      <c r="D5" s="812"/>
      <c r="E5" s="812"/>
      <c r="F5" s="812"/>
      <c r="G5" s="812"/>
      <c r="H5" s="812"/>
      <c r="I5" s="812"/>
      <c r="J5" s="812"/>
      <c r="K5" s="812"/>
      <c r="L5" s="686"/>
    </row>
    <row r="6" spans="1:15" ht="15.75" thickBot="1" x14ac:dyDescent="0.5">
      <c r="D6" s="148"/>
      <c r="E6" s="148"/>
      <c r="F6" s="148"/>
      <c r="G6" s="148"/>
      <c r="H6" s="148"/>
      <c r="I6" s="148"/>
      <c r="J6" s="148"/>
      <c r="K6" s="148"/>
      <c r="N6" s="46"/>
    </row>
    <row r="7" spans="1:15" ht="17.25" x14ac:dyDescent="0.4">
      <c r="A7" s="686"/>
      <c r="B7" s="149"/>
      <c r="C7" s="150"/>
      <c r="D7" s="151" t="s">
        <v>10</v>
      </c>
      <c r="E7" s="152" t="s">
        <v>57</v>
      </c>
      <c r="F7" s="151" t="s">
        <v>58</v>
      </c>
      <c r="G7" s="152"/>
      <c r="H7" s="681" t="s">
        <v>272</v>
      </c>
      <c r="I7" s="89"/>
      <c r="J7" s="89" t="s">
        <v>59</v>
      </c>
      <c r="K7" s="153"/>
      <c r="L7" s="686"/>
    </row>
    <row r="8" spans="1:15" x14ac:dyDescent="0.4">
      <c r="A8" s="146" t="s">
        <v>2</v>
      </c>
      <c r="B8" s="154" t="s">
        <v>60</v>
      </c>
      <c r="C8" s="155"/>
      <c r="D8" s="156" t="s">
        <v>9</v>
      </c>
      <c r="E8" s="686" t="s">
        <v>61</v>
      </c>
      <c r="F8" s="156" t="s">
        <v>9</v>
      </c>
      <c r="G8" s="157"/>
      <c r="H8" s="684" t="s">
        <v>411</v>
      </c>
      <c r="I8" s="615"/>
      <c r="J8" s="93" t="s">
        <v>62</v>
      </c>
      <c r="K8" s="158"/>
      <c r="L8" s="146" t="s">
        <v>2</v>
      </c>
    </row>
    <row r="9" spans="1:15" ht="15.75" thickBot="1" x14ac:dyDescent="0.45">
      <c r="A9" s="146" t="s">
        <v>6</v>
      </c>
      <c r="B9" s="159" t="s">
        <v>63</v>
      </c>
      <c r="C9" s="160" t="s">
        <v>3</v>
      </c>
      <c r="D9" s="161" t="s">
        <v>64</v>
      </c>
      <c r="E9" s="160" t="s">
        <v>65</v>
      </c>
      <c r="F9" s="161" t="s">
        <v>66</v>
      </c>
      <c r="G9" s="162"/>
      <c r="H9" s="186" t="s">
        <v>434</v>
      </c>
      <c r="I9" s="187"/>
      <c r="J9" s="163" t="s">
        <v>124</v>
      </c>
      <c r="K9" s="164" t="s">
        <v>5</v>
      </c>
      <c r="L9" s="146" t="s">
        <v>6</v>
      </c>
      <c r="M9" s="146"/>
    </row>
    <row r="10" spans="1:15" x14ac:dyDescent="0.45">
      <c r="B10" s="165"/>
      <c r="C10" s="166" t="s">
        <v>125</v>
      </c>
      <c r="D10" s="616"/>
      <c r="E10" s="616"/>
      <c r="F10" s="167"/>
      <c r="G10" s="168"/>
      <c r="H10" s="168"/>
      <c r="I10" s="168"/>
      <c r="J10" s="169"/>
      <c r="K10" s="170"/>
    </row>
    <row r="11" spans="1:15" ht="18.399999999999999" x14ac:dyDescent="0.5">
      <c r="A11" s="146">
        <v>1</v>
      </c>
      <c r="B11" s="154">
        <v>920</v>
      </c>
      <c r="C11" s="171" t="s">
        <v>126</v>
      </c>
      <c r="D11" s="101">
        <v>31012.001380000002</v>
      </c>
      <c r="E11" s="101">
        <v>91.867089999999976</v>
      </c>
      <c r="F11" s="101">
        <f>D11-E11</f>
        <v>30920.134290000002</v>
      </c>
      <c r="G11" s="28" t="s">
        <v>16</v>
      </c>
      <c r="H11" s="126">
        <v>-84.78</v>
      </c>
      <c r="I11" s="697">
        <v>2</v>
      </c>
      <c r="J11" s="128">
        <f>F11+H11</f>
        <v>30835.354290000003</v>
      </c>
      <c r="K11" s="94" t="s">
        <v>127</v>
      </c>
      <c r="L11" s="146">
        <f>A11</f>
        <v>1</v>
      </c>
      <c r="M11" s="147" t="s">
        <v>11</v>
      </c>
      <c r="N11" s="172"/>
    </row>
    <row r="12" spans="1:15" ht="18.399999999999999" x14ac:dyDescent="0.5">
      <c r="A12" s="146">
        <f t="shared" ref="A12:A66" si="0">A11+1</f>
        <v>2</v>
      </c>
      <c r="B12" s="154">
        <v>921</v>
      </c>
      <c r="C12" s="171" t="s">
        <v>128</v>
      </c>
      <c r="D12" s="104">
        <v>16773.40425</v>
      </c>
      <c r="E12" s="105">
        <v>-1.33857</v>
      </c>
      <c r="F12" s="104">
        <f>D12-E12</f>
        <v>16774.742819999999</v>
      </c>
      <c r="G12" s="28" t="s">
        <v>16</v>
      </c>
      <c r="H12" s="698">
        <v>-128.12899999999999</v>
      </c>
      <c r="I12" s="697">
        <v>2</v>
      </c>
      <c r="J12" s="109">
        <f>F12+H12</f>
        <v>16646.613819999999</v>
      </c>
      <c r="K12" s="94" t="s">
        <v>129</v>
      </c>
      <c r="L12" s="146">
        <f t="shared" ref="L12:L66" si="1">L11+1</f>
        <v>2</v>
      </c>
      <c r="N12" s="172"/>
      <c r="O12" s="173"/>
    </row>
    <row r="13" spans="1:15" x14ac:dyDescent="0.45">
      <c r="A13" s="146">
        <f t="shared" si="0"/>
        <v>3</v>
      </c>
      <c r="B13" s="165">
        <v>922</v>
      </c>
      <c r="C13" s="171" t="s">
        <v>130</v>
      </c>
      <c r="D13" s="104">
        <v>-13569.700310000002</v>
      </c>
      <c r="E13" s="105">
        <v>0</v>
      </c>
      <c r="F13" s="104">
        <f>D13-E13</f>
        <v>-13569.700310000002</v>
      </c>
      <c r="G13" s="105"/>
      <c r="H13" s="105"/>
      <c r="I13" s="106"/>
      <c r="J13" s="104">
        <f t="shared" ref="J13:J25" si="2">F13+H13</f>
        <v>-13569.700310000002</v>
      </c>
      <c r="K13" s="94" t="s">
        <v>131</v>
      </c>
      <c r="L13" s="146">
        <f t="shared" si="1"/>
        <v>3</v>
      </c>
      <c r="N13" s="172"/>
    </row>
    <row r="14" spans="1:15" ht="17.25" x14ac:dyDescent="0.5">
      <c r="A14" s="146">
        <f t="shared" si="0"/>
        <v>4</v>
      </c>
      <c r="B14" s="154">
        <v>923</v>
      </c>
      <c r="C14" s="171" t="s">
        <v>132</v>
      </c>
      <c r="D14" s="104">
        <v>90245.647219999999</v>
      </c>
      <c r="E14" s="105">
        <v>153.10804999999999</v>
      </c>
      <c r="F14" s="104">
        <f>D14-E14</f>
        <v>90092.539170000004</v>
      </c>
      <c r="G14" s="28" t="s">
        <v>16</v>
      </c>
      <c r="H14" s="698">
        <f>2294.73+64.516</f>
        <v>2359.2460000000001</v>
      </c>
      <c r="I14" s="699">
        <v>3</v>
      </c>
      <c r="J14" s="109">
        <f>F14+H14+H15</f>
        <v>91885.613169999997</v>
      </c>
      <c r="K14" s="94" t="s">
        <v>133</v>
      </c>
      <c r="L14" s="146">
        <f t="shared" si="1"/>
        <v>4</v>
      </c>
      <c r="N14" s="172"/>
    </row>
    <row r="15" spans="1:15" ht="18.399999999999999" x14ac:dyDescent="0.5">
      <c r="A15" s="146">
        <f t="shared" si="0"/>
        <v>5</v>
      </c>
      <c r="B15" s="154">
        <v>923</v>
      </c>
      <c r="C15" s="171" t="s">
        <v>132</v>
      </c>
      <c r="D15" s="104"/>
      <c r="E15" s="105"/>
      <c r="F15" s="104"/>
      <c r="G15" s="28"/>
      <c r="H15" s="698">
        <v>-566.17200000000003</v>
      </c>
      <c r="I15" s="697">
        <v>2</v>
      </c>
      <c r="J15" s="109"/>
      <c r="K15" s="94"/>
      <c r="L15" s="146">
        <f t="shared" si="1"/>
        <v>5</v>
      </c>
      <c r="N15" s="172"/>
    </row>
    <row r="16" spans="1:15" x14ac:dyDescent="0.45">
      <c r="A16" s="146">
        <f t="shared" si="0"/>
        <v>6</v>
      </c>
      <c r="B16" s="165">
        <v>924</v>
      </c>
      <c r="C16" s="171" t="s">
        <v>134</v>
      </c>
      <c r="D16" s="104">
        <v>8305.6217899999992</v>
      </c>
      <c r="E16" s="105">
        <v>0</v>
      </c>
      <c r="F16" s="104">
        <f t="shared" ref="F16:F17" si="3">D16-E16</f>
        <v>8305.6217899999992</v>
      </c>
      <c r="G16" s="105"/>
      <c r="H16" s="105"/>
      <c r="I16" s="106"/>
      <c r="J16" s="104">
        <f t="shared" si="2"/>
        <v>8305.6217899999992</v>
      </c>
      <c r="K16" s="94" t="s">
        <v>135</v>
      </c>
      <c r="L16" s="146">
        <f t="shared" si="1"/>
        <v>6</v>
      </c>
      <c r="N16" s="172"/>
    </row>
    <row r="17" spans="1:14" ht="18.399999999999999" x14ac:dyDescent="0.5">
      <c r="A17" s="146">
        <f t="shared" si="0"/>
        <v>7</v>
      </c>
      <c r="B17" s="154">
        <v>925</v>
      </c>
      <c r="C17" s="171" t="s">
        <v>136</v>
      </c>
      <c r="D17" s="104">
        <v>140446.40546000001</v>
      </c>
      <c r="E17" s="105">
        <v>335.97845833499991</v>
      </c>
      <c r="F17" s="104">
        <f t="shared" si="3"/>
        <v>140110.427001665</v>
      </c>
      <c r="G17" s="28" t="s">
        <v>16</v>
      </c>
      <c r="H17" s="698">
        <v>-304.83300000000003</v>
      </c>
      <c r="I17" s="697">
        <v>2</v>
      </c>
      <c r="J17" s="109">
        <f t="shared" si="2"/>
        <v>139805.59400166498</v>
      </c>
      <c r="K17" s="94" t="s">
        <v>137</v>
      </c>
      <c r="L17" s="146">
        <f t="shared" si="1"/>
        <v>7</v>
      </c>
      <c r="N17" s="172"/>
    </row>
    <row r="18" spans="1:14" ht="18.399999999999999" x14ac:dyDescent="0.5">
      <c r="A18" s="146">
        <f t="shared" si="0"/>
        <v>8</v>
      </c>
      <c r="B18" s="154">
        <v>926</v>
      </c>
      <c r="C18" s="171" t="s">
        <v>435</v>
      </c>
      <c r="D18" s="104">
        <v>54077.224009999998</v>
      </c>
      <c r="E18" s="105">
        <v>913.38426291299993</v>
      </c>
      <c r="F18" s="104">
        <f>D18-E18</f>
        <v>53163.839747086997</v>
      </c>
      <c r="G18" s="28" t="s">
        <v>16</v>
      </c>
      <c r="H18" s="698">
        <v>-832.04399999999998</v>
      </c>
      <c r="I18" s="697">
        <v>2</v>
      </c>
      <c r="J18" s="109">
        <f t="shared" si="2"/>
        <v>52331.795747086995</v>
      </c>
      <c r="K18" s="94" t="s">
        <v>138</v>
      </c>
      <c r="L18" s="146">
        <f t="shared" si="1"/>
        <v>8</v>
      </c>
      <c r="N18" s="174"/>
    </row>
    <row r="19" spans="1:14" x14ac:dyDescent="0.45">
      <c r="A19" s="146">
        <f t="shared" si="0"/>
        <v>9</v>
      </c>
      <c r="B19" s="165">
        <v>927</v>
      </c>
      <c r="C19" s="171" t="s">
        <v>139</v>
      </c>
      <c r="D19" s="104">
        <v>127615.79129000001</v>
      </c>
      <c r="E19" s="105">
        <v>127615.79129000001</v>
      </c>
      <c r="F19" s="104">
        <f t="shared" ref="F19:F21" si="4">D19-E19</f>
        <v>0</v>
      </c>
      <c r="G19" s="105"/>
      <c r="H19" s="105"/>
      <c r="I19" s="106"/>
      <c r="J19" s="104">
        <f t="shared" si="2"/>
        <v>0</v>
      </c>
      <c r="K19" s="94" t="s">
        <v>140</v>
      </c>
      <c r="L19" s="146">
        <f t="shared" si="1"/>
        <v>9</v>
      </c>
      <c r="N19" s="174"/>
    </row>
    <row r="20" spans="1:14" x14ac:dyDescent="0.4">
      <c r="A20" s="146">
        <f t="shared" si="0"/>
        <v>10</v>
      </c>
      <c r="B20" s="165">
        <v>928</v>
      </c>
      <c r="C20" s="171" t="s">
        <v>436</v>
      </c>
      <c r="D20" s="104">
        <v>22402.324690000001</v>
      </c>
      <c r="E20" s="105">
        <v>11134.69994</v>
      </c>
      <c r="F20" s="104">
        <f t="shared" si="4"/>
        <v>11267.624750000001</v>
      </c>
      <c r="G20" s="105"/>
      <c r="H20" s="105"/>
      <c r="I20" s="176"/>
      <c r="J20" s="104">
        <f t="shared" si="2"/>
        <v>11267.624750000001</v>
      </c>
      <c r="K20" s="94" t="s">
        <v>141</v>
      </c>
      <c r="L20" s="146">
        <f t="shared" si="1"/>
        <v>10</v>
      </c>
      <c r="N20" s="174"/>
    </row>
    <row r="21" spans="1:14" x14ac:dyDescent="0.45">
      <c r="A21" s="146">
        <f t="shared" si="0"/>
        <v>11</v>
      </c>
      <c r="B21" s="165">
        <v>929</v>
      </c>
      <c r="C21" s="171" t="s">
        <v>142</v>
      </c>
      <c r="D21" s="104">
        <v>-2181.0840200000002</v>
      </c>
      <c r="E21" s="105">
        <v>0</v>
      </c>
      <c r="F21" s="104">
        <f t="shared" si="4"/>
        <v>-2181.0840200000002</v>
      </c>
      <c r="G21" s="105"/>
      <c r="H21" s="105"/>
      <c r="I21" s="106"/>
      <c r="J21" s="104">
        <f t="shared" si="2"/>
        <v>-2181.0840200000002</v>
      </c>
      <c r="K21" s="94" t="s">
        <v>143</v>
      </c>
      <c r="L21" s="146">
        <f t="shared" si="1"/>
        <v>11</v>
      </c>
      <c r="N21" s="172"/>
    </row>
    <row r="22" spans="1:14" x14ac:dyDescent="0.45">
      <c r="A22" s="146">
        <f t="shared" si="0"/>
        <v>12</v>
      </c>
      <c r="B22" s="177">
        <v>930.1</v>
      </c>
      <c r="C22" s="171" t="s">
        <v>144</v>
      </c>
      <c r="D22" s="104">
        <v>112.52861999999999</v>
      </c>
      <c r="E22" s="105">
        <v>112.52861999999999</v>
      </c>
      <c r="F22" s="104">
        <f>D22-E22</f>
        <v>0</v>
      </c>
      <c r="G22" s="105"/>
      <c r="H22" s="105"/>
      <c r="I22" s="106"/>
      <c r="J22" s="104">
        <f t="shared" si="2"/>
        <v>0</v>
      </c>
      <c r="K22" s="94" t="s">
        <v>145</v>
      </c>
      <c r="L22" s="146">
        <f t="shared" si="1"/>
        <v>12</v>
      </c>
      <c r="N22" s="172"/>
    </row>
    <row r="23" spans="1:14" ht="18.399999999999999" x14ac:dyDescent="0.5">
      <c r="A23" s="146">
        <f t="shared" si="0"/>
        <v>13</v>
      </c>
      <c r="B23" s="700">
        <v>930.2</v>
      </c>
      <c r="C23" s="171" t="s">
        <v>146</v>
      </c>
      <c r="D23" s="104">
        <v>2206.68253</v>
      </c>
      <c r="E23" s="105">
        <v>576.97162999999989</v>
      </c>
      <c r="F23" s="104">
        <f t="shared" ref="F23" si="5">D23-E23</f>
        <v>1629.7109</v>
      </c>
      <c r="G23" s="28" t="s">
        <v>16</v>
      </c>
      <c r="H23" s="698">
        <v>-1483.3869999999999</v>
      </c>
      <c r="I23" s="697">
        <v>4</v>
      </c>
      <c r="J23" s="109">
        <f t="shared" si="2"/>
        <v>146.32390000000009</v>
      </c>
      <c r="K23" s="94" t="s">
        <v>147</v>
      </c>
      <c r="L23" s="146">
        <f t="shared" si="1"/>
        <v>13</v>
      </c>
      <c r="N23" s="178"/>
    </row>
    <row r="24" spans="1:14" x14ac:dyDescent="0.45">
      <c r="A24" s="146">
        <f t="shared" si="0"/>
        <v>14</v>
      </c>
      <c r="B24" s="165">
        <v>931</v>
      </c>
      <c r="C24" s="171" t="s">
        <v>95</v>
      </c>
      <c r="D24" s="104">
        <v>8564.2415499999988</v>
      </c>
      <c r="E24" s="105">
        <v>0</v>
      </c>
      <c r="F24" s="104">
        <f>D24-E24</f>
        <v>8564.2415499999988</v>
      </c>
      <c r="G24" s="105"/>
      <c r="H24" s="105"/>
      <c r="I24" s="105"/>
      <c r="J24" s="104">
        <f t="shared" si="2"/>
        <v>8564.2415499999988</v>
      </c>
      <c r="K24" s="94" t="s">
        <v>148</v>
      </c>
      <c r="L24" s="146">
        <f t="shared" si="1"/>
        <v>14</v>
      </c>
      <c r="N24" s="172"/>
    </row>
    <row r="25" spans="1:14" x14ac:dyDescent="0.45">
      <c r="A25" s="146">
        <f t="shared" si="0"/>
        <v>15</v>
      </c>
      <c r="B25" s="165">
        <v>935</v>
      </c>
      <c r="C25" s="171" t="s">
        <v>149</v>
      </c>
      <c r="D25" s="591">
        <v>12341.892099999999</v>
      </c>
      <c r="E25" s="553">
        <v>1502.526687415</v>
      </c>
      <c r="F25" s="591">
        <f>D25-E25</f>
        <v>10839.365412584999</v>
      </c>
      <c r="G25" s="592"/>
      <c r="H25" s="553"/>
      <c r="I25" s="593"/>
      <c r="J25" s="593">
        <f t="shared" si="2"/>
        <v>10839.365412584999</v>
      </c>
      <c r="K25" s="94" t="s">
        <v>150</v>
      </c>
      <c r="L25" s="146">
        <f t="shared" si="1"/>
        <v>15</v>
      </c>
      <c r="M25" s="147" t="s">
        <v>11</v>
      </c>
      <c r="N25" s="172"/>
    </row>
    <row r="26" spans="1:14" x14ac:dyDescent="0.45">
      <c r="A26" s="146">
        <f t="shared" si="0"/>
        <v>16</v>
      </c>
      <c r="B26" s="165"/>
      <c r="D26" s="179"/>
      <c r="F26" s="179"/>
      <c r="J26" s="179"/>
      <c r="K26" s="180"/>
      <c r="L26" s="146">
        <f t="shared" si="1"/>
        <v>16</v>
      </c>
    </row>
    <row r="27" spans="1:14" ht="16.149999999999999" thickBot="1" x14ac:dyDescent="0.55000000000000004">
      <c r="A27" s="146">
        <f t="shared" si="0"/>
        <v>17</v>
      </c>
      <c r="B27" s="165"/>
      <c r="C27" s="155" t="s">
        <v>151</v>
      </c>
      <c r="D27" s="181">
        <f>SUM(D11:D25)</f>
        <v>498352.98056</v>
      </c>
      <c r="E27" s="131">
        <f>SUM(E11:E25)</f>
        <v>142435.51745866297</v>
      </c>
      <c r="F27" s="129">
        <f>SUM(F11:F25)</f>
        <v>355917.46310133697</v>
      </c>
      <c r="G27" s="130" t="s">
        <v>16</v>
      </c>
      <c r="H27" s="701">
        <f>SUM(H11:H25)</f>
        <v>-1040.0990000000002</v>
      </c>
      <c r="I27" s="131"/>
      <c r="J27" s="129">
        <f>SUM(J11:J25)</f>
        <v>354877.36410133692</v>
      </c>
      <c r="K27" s="182" t="str">
        <f>"Sum Lines "&amp;A11&amp;" thru "&amp;A25</f>
        <v>Sum Lines 1 thru 15</v>
      </c>
      <c r="L27" s="146">
        <f t="shared" si="1"/>
        <v>17</v>
      </c>
    </row>
    <row r="28" spans="1:14" ht="15.75" thickTop="1" x14ac:dyDescent="0.45">
      <c r="A28" s="146">
        <f t="shared" si="0"/>
        <v>18</v>
      </c>
      <c r="B28" s="165"/>
      <c r="C28" s="155"/>
      <c r="D28" s="617"/>
      <c r="E28" s="127"/>
      <c r="F28" s="128"/>
      <c r="G28" s="126"/>
      <c r="H28" s="126"/>
      <c r="I28" s="126"/>
      <c r="J28" s="128"/>
      <c r="K28" s="182"/>
      <c r="L28" s="146">
        <f t="shared" si="1"/>
        <v>18</v>
      </c>
    </row>
    <row r="29" spans="1:14" ht="17.25" x14ac:dyDescent="0.45">
      <c r="A29" s="146">
        <f t="shared" si="0"/>
        <v>19</v>
      </c>
      <c r="B29" s="165">
        <v>413</v>
      </c>
      <c r="C29" s="147" t="s">
        <v>437</v>
      </c>
      <c r="D29" s="591">
        <v>54.345089999999999</v>
      </c>
      <c r="E29" s="593">
        <v>0</v>
      </c>
      <c r="F29" s="591">
        <f>D29-E29</f>
        <v>54.345089999999999</v>
      </c>
      <c r="G29" s="592"/>
      <c r="H29" s="553"/>
      <c r="I29" s="553"/>
      <c r="J29" s="591">
        <f>F29+H29</f>
        <v>54.345089999999999</v>
      </c>
      <c r="K29" s="182"/>
      <c r="L29" s="146">
        <f t="shared" si="1"/>
        <v>19</v>
      </c>
    </row>
    <row r="30" spans="1:14" x14ac:dyDescent="0.45">
      <c r="A30" s="146">
        <f t="shared" si="0"/>
        <v>20</v>
      </c>
      <c r="B30" s="165"/>
      <c r="C30" s="155"/>
      <c r="D30" s="617"/>
      <c r="E30" s="127"/>
      <c r="F30" s="128"/>
      <c r="G30" s="126"/>
      <c r="H30" s="126"/>
      <c r="I30" s="126"/>
      <c r="J30" s="128"/>
      <c r="K30" s="182"/>
      <c r="L30" s="146">
        <f t="shared" si="1"/>
        <v>20</v>
      </c>
    </row>
    <row r="31" spans="1:14" ht="16.149999999999999" thickBot="1" x14ac:dyDescent="0.55000000000000004">
      <c r="A31" s="146">
        <f t="shared" si="0"/>
        <v>21</v>
      </c>
      <c r="B31" s="165"/>
      <c r="C31" s="155" t="s">
        <v>438</v>
      </c>
      <c r="D31" s="181">
        <f>D27+D29</f>
        <v>498407.32565000001</v>
      </c>
      <c r="E31" s="127">
        <f>E27+E29</f>
        <v>142435.51745866297</v>
      </c>
      <c r="F31" s="128">
        <f>F27+F29</f>
        <v>355971.80819133698</v>
      </c>
      <c r="G31" s="130" t="s">
        <v>16</v>
      </c>
      <c r="H31" s="701">
        <f>H27+H29</f>
        <v>-1040.0990000000002</v>
      </c>
      <c r="I31" s="131"/>
      <c r="J31" s="129">
        <f>J27+J29</f>
        <v>354931.70919133694</v>
      </c>
      <c r="K31" s="182" t="str">
        <f>"Line "&amp;A27&amp;" + Line "&amp;A29</f>
        <v>Line 17 + Line 19</v>
      </c>
      <c r="L31" s="146">
        <f t="shared" si="1"/>
        <v>21</v>
      </c>
    </row>
    <row r="32" spans="1:14" ht="16.149999999999999" thickTop="1" thickBot="1" x14ac:dyDescent="0.5">
      <c r="A32" s="146">
        <f t="shared" si="0"/>
        <v>22</v>
      </c>
      <c r="B32" s="183"/>
      <c r="C32" s="148"/>
      <c r="D32" s="184"/>
      <c r="E32" s="185"/>
      <c r="F32" s="185"/>
      <c r="G32" s="186"/>
      <c r="H32" s="186"/>
      <c r="I32" s="186"/>
      <c r="J32" s="188"/>
      <c r="K32" s="189"/>
      <c r="L32" s="146">
        <f t="shared" si="1"/>
        <v>22</v>
      </c>
    </row>
    <row r="33" spans="1:14" x14ac:dyDescent="0.45">
      <c r="A33" s="146">
        <f t="shared" si="0"/>
        <v>23</v>
      </c>
      <c r="B33" s="202"/>
      <c r="D33" s="618"/>
      <c r="E33" s="619"/>
      <c r="F33" s="618"/>
      <c r="G33" s="618"/>
      <c r="H33" s="618"/>
      <c r="I33" s="618"/>
      <c r="J33" s="618"/>
      <c r="K33" s="180"/>
      <c r="L33" s="146">
        <f t="shared" si="1"/>
        <v>23</v>
      </c>
    </row>
    <row r="34" spans="1:14" x14ac:dyDescent="0.45">
      <c r="A34" s="146">
        <f t="shared" si="0"/>
        <v>24</v>
      </c>
      <c r="B34" s="190" t="s">
        <v>152</v>
      </c>
      <c r="C34" s="146"/>
      <c r="D34" s="146"/>
      <c r="E34" s="146"/>
      <c r="F34" s="146"/>
      <c r="G34" s="146"/>
      <c r="H34" s="146"/>
      <c r="I34" s="146"/>
      <c r="J34" s="146"/>
      <c r="K34" s="180"/>
      <c r="L34" s="146">
        <f t="shared" si="1"/>
        <v>24</v>
      </c>
    </row>
    <row r="35" spans="1:14" x14ac:dyDescent="0.45">
      <c r="A35" s="146">
        <f t="shared" si="0"/>
        <v>25</v>
      </c>
      <c r="B35" s="191">
        <v>920</v>
      </c>
      <c r="C35" s="22" t="s">
        <v>153</v>
      </c>
      <c r="D35" s="192"/>
      <c r="E35" s="29">
        <v>91.867089999999976</v>
      </c>
      <c r="F35" s="146"/>
      <c r="G35" s="146"/>
      <c r="H35" s="146"/>
      <c r="I35" s="146"/>
      <c r="J35" s="146"/>
      <c r="K35" s="180"/>
      <c r="L35" s="146">
        <f t="shared" si="1"/>
        <v>25</v>
      </c>
    </row>
    <row r="36" spans="1:14" x14ac:dyDescent="0.45">
      <c r="A36" s="146">
        <f t="shared" si="0"/>
        <v>26</v>
      </c>
      <c r="B36" s="191">
        <v>921</v>
      </c>
      <c r="C36" s="22" t="s">
        <v>153</v>
      </c>
      <c r="D36" s="192"/>
      <c r="E36" s="147">
        <v>-1.33857</v>
      </c>
      <c r="K36" s="180"/>
      <c r="L36" s="146">
        <f t="shared" si="1"/>
        <v>26</v>
      </c>
      <c r="N36" s="171"/>
    </row>
    <row r="37" spans="1:14" x14ac:dyDescent="0.45">
      <c r="A37" s="146">
        <f t="shared" si="0"/>
        <v>27</v>
      </c>
      <c r="B37" s="191">
        <v>923</v>
      </c>
      <c r="C37" s="22" t="s">
        <v>154</v>
      </c>
      <c r="D37" s="29">
        <v>74.15849</v>
      </c>
      <c r="E37" s="30"/>
      <c r="K37" s="180"/>
      <c r="L37" s="146">
        <f t="shared" si="1"/>
        <v>27</v>
      </c>
    </row>
    <row r="38" spans="1:14" x14ac:dyDescent="0.45">
      <c r="A38" s="146">
        <f t="shared" si="0"/>
        <v>28</v>
      </c>
      <c r="B38" s="191"/>
      <c r="C38" s="22" t="s">
        <v>153</v>
      </c>
      <c r="D38" s="620">
        <v>78.949559999999991</v>
      </c>
      <c r="E38" s="147">
        <f>SUM(D37:D38)</f>
        <v>153.10804999999999</v>
      </c>
      <c r="K38" s="180"/>
      <c r="L38" s="146">
        <f t="shared" si="1"/>
        <v>28</v>
      </c>
    </row>
    <row r="39" spans="1:14" x14ac:dyDescent="0.45">
      <c r="A39" s="146">
        <f t="shared" si="0"/>
        <v>29</v>
      </c>
      <c r="B39" s="191">
        <v>925</v>
      </c>
      <c r="C39" s="193" t="s">
        <v>153</v>
      </c>
      <c r="D39" s="30">
        <v>268.99521833499995</v>
      </c>
      <c r="K39" s="180"/>
      <c r="L39" s="146">
        <f t="shared" si="1"/>
        <v>29</v>
      </c>
    </row>
    <row r="40" spans="1:14" x14ac:dyDescent="0.45">
      <c r="A40" s="146">
        <f t="shared" si="0"/>
        <v>30</v>
      </c>
      <c r="B40" s="191"/>
      <c r="C40" s="193" t="s">
        <v>136</v>
      </c>
      <c r="D40" s="30">
        <v>0</v>
      </c>
      <c r="F40" s="621"/>
      <c r="G40" s="621"/>
      <c r="H40" s="621"/>
      <c r="I40" s="621"/>
      <c r="J40" s="621"/>
      <c r="K40" s="622"/>
      <c r="L40" s="146">
        <f t="shared" si="1"/>
        <v>30</v>
      </c>
    </row>
    <row r="41" spans="1:14" x14ac:dyDescent="0.45">
      <c r="A41" s="146">
        <f t="shared" si="0"/>
        <v>31</v>
      </c>
      <c r="B41" s="191"/>
      <c r="C41" s="194" t="s">
        <v>155</v>
      </c>
      <c r="D41" s="620">
        <v>66.983239999999995</v>
      </c>
      <c r="E41" s="147">
        <f>SUM(D39:D41)</f>
        <v>335.97845833499991</v>
      </c>
      <c r="K41" s="180"/>
      <c r="L41" s="146">
        <f t="shared" si="1"/>
        <v>31</v>
      </c>
    </row>
    <row r="42" spans="1:14" x14ac:dyDescent="0.45">
      <c r="A42" s="146">
        <f t="shared" si="0"/>
        <v>32</v>
      </c>
      <c r="B42" s="191">
        <v>926</v>
      </c>
      <c r="C42" s="193" t="s">
        <v>153</v>
      </c>
      <c r="D42" s="30">
        <v>730.03415291299996</v>
      </c>
      <c r="E42" s="30"/>
      <c r="K42" s="180"/>
      <c r="L42" s="146">
        <f t="shared" si="1"/>
        <v>32</v>
      </c>
    </row>
    <row r="43" spans="1:14" x14ac:dyDescent="0.45">
      <c r="A43" s="146">
        <f t="shared" si="0"/>
        <v>33</v>
      </c>
      <c r="B43" s="191"/>
      <c r="C43" s="193" t="s">
        <v>155</v>
      </c>
      <c r="D43" s="620">
        <v>183.35011</v>
      </c>
      <c r="E43" s="147">
        <f>SUM(D42:D43)</f>
        <v>913.38426291299993</v>
      </c>
      <c r="F43" s="621"/>
      <c r="G43" s="621"/>
      <c r="H43" s="621"/>
      <c r="I43" s="621"/>
      <c r="J43" s="621"/>
      <c r="K43" s="622"/>
      <c r="L43" s="146">
        <f t="shared" si="1"/>
        <v>33</v>
      </c>
    </row>
    <row r="44" spans="1:14" x14ac:dyDescent="0.45">
      <c r="A44" s="146">
        <f t="shared" si="0"/>
        <v>34</v>
      </c>
      <c r="B44" s="191">
        <v>927</v>
      </c>
      <c r="C44" s="193" t="s">
        <v>139</v>
      </c>
      <c r="D44" s="195"/>
      <c r="E44" s="30">
        <v>127615.79129000001</v>
      </c>
      <c r="K44" s="180"/>
      <c r="L44" s="146">
        <f t="shared" si="1"/>
        <v>34</v>
      </c>
    </row>
    <row r="45" spans="1:14" x14ac:dyDescent="0.45">
      <c r="A45" s="146">
        <f t="shared" si="0"/>
        <v>35</v>
      </c>
      <c r="B45" s="191">
        <v>928</v>
      </c>
      <c r="C45" s="193" t="s">
        <v>153</v>
      </c>
      <c r="D45" s="30">
        <v>0</v>
      </c>
      <c r="E45" s="30"/>
      <c r="K45" s="180"/>
      <c r="L45" s="146">
        <f t="shared" si="1"/>
        <v>35</v>
      </c>
    </row>
    <row r="46" spans="1:14" x14ac:dyDescent="0.45">
      <c r="A46" s="146">
        <f t="shared" si="0"/>
        <v>36</v>
      </c>
      <c r="B46" s="191"/>
      <c r="C46" s="22" t="s">
        <v>18</v>
      </c>
      <c r="D46" s="30">
        <v>0</v>
      </c>
      <c r="E46" s="30"/>
      <c r="K46" s="180"/>
      <c r="L46" s="146">
        <f t="shared" si="1"/>
        <v>36</v>
      </c>
    </row>
    <row r="47" spans="1:14" x14ac:dyDescent="0.45">
      <c r="A47" s="146">
        <f t="shared" si="0"/>
        <v>37</v>
      </c>
      <c r="B47" s="191"/>
      <c r="C47" s="22" t="s">
        <v>156</v>
      </c>
      <c r="D47" s="30">
        <v>1212.49029</v>
      </c>
      <c r="E47" s="623"/>
      <c r="K47" s="180"/>
      <c r="L47" s="146">
        <f t="shared" si="1"/>
        <v>37</v>
      </c>
    </row>
    <row r="48" spans="1:14" x14ac:dyDescent="0.45">
      <c r="A48" s="146">
        <f t="shared" si="0"/>
        <v>38</v>
      </c>
      <c r="B48" s="191"/>
      <c r="C48" s="22" t="s">
        <v>157</v>
      </c>
      <c r="D48" s="30">
        <v>9790.5481500000005</v>
      </c>
      <c r="E48" s="624"/>
      <c r="F48" s="64"/>
      <c r="G48" s="64"/>
      <c r="H48" s="64"/>
      <c r="I48" s="64"/>
      <c r="J48" s="64"/>
      <c r="K48" s="180"/>
      <c r="L48" s="146">
        <f t="shared" si="1"/>
        <v>38</v>
      </c>
    </row>
    <row r="49" spans="1:12" x14ac:dyDescent="0.45">
      <c r="A49" s="146">
        <f t="shared" si="0"/>
        <v>39</v>
      </c>
      <c r="B49" s="197"/>
      <c r="C49" s="193" t="s">
        <v>158</v>
      </c>
      <c r="D49" s="620">
        <v>131.66149999999999</v>
      </c>
      <c r="E49" s="625">
        <f>SUM(D45:D49)</f>
        <v>11134.69994</v>
      </c>
      <c r="F49" s="64"/>
      <c r="G49" s="64"/>
      <c r="H49" s="64"/>
      <c r="I49" s="64"/>
      <c r="J49" s="64"/>
      <c r="K49" s="180"/>
      <c r="L49" s="146">
        <f t="shared" si="1"/>
        <v>39</v>
      </c>
    </row>
    <row r="50" spans="1:12" x14ac:dyDescent="0.45">
      <c r="A50" s="146">
        <f t="shared" si="0"/>
        <v>40</v>
      </c>
      <c r="B50" s="198">
        <v>930.1</v>
      </c>
      <c r="C50" s="22" t="s">
        <v>144</v>
      </c>
      <c r="D50" s="195"/>
      <c r="E50" s="30">
        <v>112.52861999999999</v>
      </c>
      <c r="F50" s="64"/>
      <c r="G50" s="64"/>
      <c r="H50" s="64"/>
      <c r="I50" s="64"/>
      <c r="J50" s="64"/>
      <c r="K50" s="180"/>
      <c r="L50" s="146">
        <f t="shared" si="1"/>
        <v>40</v>
      </c>
    </row>
    <row r="51" spans="1:12" x14ac:dyDescent="0.45">
      <c r="A51" s="146">
        <f t="shared" si="0"/>
        <v>41</v>
      </c>
      <c r="B51" s="198">
        <v>930.2</v>
      </c>
      <c r="C51" s="193" t="s">
        <v>159</v>
      </c>
      <c r="D51" s="625">
        <v>0</v>
      </c>
      <c r="E51" s="626"/>
      <c r="F51" s="685"/>
      <c r="G51" s="685"/>
      <c r="H51" s="685"/>
      <c r="I51" s="685"/>
      <c r="J51" s="685"/>
      <c r="K51" s="180"/>
      <c r="L51" s="146">
        <f t="shared" si="1"/>
        <v>41</v>
      </c>
    </row>
    <row r="52" spans="1:12" x14ac:dyDescent="0.45">
      <c r="A52" s="146">
        <f t="shared" si="0"/>
        <v>42</v>
      </c>
      <c r="B52" s="198"/>
      <c r="C52" s="193" t="s">
        <v>160</v>
      </c>
      <c r="D52" s="627">
        <v>576.97162999999989</v>
      </c>
      <c r="E52" s="625">
        <f>SUM(D51:D52)</f>
        <v>576.97162999999989</v>
      </c>
      <c r="F52" s="685"/>
      <c r="G52" s="685"/>
      <c r="H52" s="685"/>
      <c r="I52" s="685"/>
      <c r="J52" s="685"/>
      <c r="K52" s="180"/>
      <c r="L52" s="146">
        <f t="shared" si="1"/>
        <v>42</v>
      </c>
    </row>
    <row r="53" spans="1:12" x14ac:dyDescent="0.45">
      <c r="A53" s="146">
        <f t="shared" si="0"/>
        <v>43</v>
      </c>
      <c r="B53" s="191">
        <v>935</v>
      </c>
      <c r="C53" s="199" t="s">
        <v>161</v>
      </c>
      <c r="D53" s="625">
        <v>39.414587415</v>
      </c>
      <c r="E53" s="626"/>
      <c r="F53" s="685"/>
      <c r="G53" s="685"/>
      <c r="H53" s="685"/>
      <c r="I53" s="685"/>
      <c r="J53" s="685"/>
      <c r="K53" s="180"/>
      <c r="L53" s="146">
        <f t="shared" si="1"/>
        <v>43</v>
      </c>
    </row>
    <row r="54" spans="1:12" x14ac:dyDescent="0.45">
      <c r="A54" s="146">
        <f t="shared" si="0"/>
        <v>44</v>
      </c>
      <c r="B54" s="191"/>
      <c r="C54" s="199" t="s">
        <v>153</v>
      </c>
      <c r="D54" s="627">
        <v>1463.1121000000001</v>
      </c>
      <c r="E54" s="627">
        <f>SUM(D53:D54)</f>
        <v>1502.526687415</v>
      </c>
      <c r="F54" s="685"/>
      <c r="G54" s="685"/>
      <c r="H54" s="685"/>
      <c r="I54" s="685"/>
      <c r="J54" s="685"/>
      <c r="K54" s="180"/>
      <c r="L54" s="146">
        <f t="shared" si="1"/>
        <v>44</v>
      </c>
    </row>
    <row r="55" spans="1:12" x14ac:dyDescent="0.45">
      <c r="A55" s="146">
        <f t="shared" si="0"/>
        <v>45</v>
      </c>
      <c r="B55" s="200"/>
      <c r="C55" s="201"/>
      <c r="D55" s="628"/>
      <c r="E55" s="44"/>
      <c r="F55" s="685"/>
      <c r="G55" s="685"/>
      <c r="H55" s="685"/>
      <c r="I55" s="685"/>
      <c r="J55" s="685"/>
      <c r="K55" s="180"/>
      <c r="L55" s="146">
        <f t="shared" si="1"/>
        <v>45</v>
      </c>
    </row>
    <row r="56" spans="1:12" ht="15.75" thickBot="1" x14ac:dyDescent="0.5">
      <c r="A56" s="146">
        <f t="shared" si="0"/>
        <v>46</v>
      </c>
      <c r="B56" s="202"/>
      <c r="C56" s="203" t="s">
        <v>122</v>
      </c>
      <c r="D56" s="196"/>
      <c r="E56" s="629">
        <f>SUM(E35:E54)</f>
        <v>142435.51745866297</v>
      </c>
      <c r="F56" s="685"/>
      <c r="G56" s="685"/>
      <c r="H56" s="685"/>
      <c r="I56" s="685"/>
      <c r="J56" s="685"/>
      <c r="K56" s="180"/>
      <c r="L56" s="146">
        <f t="shared" si="1"/>
        <v>46</v>
      </c>
    </row>
    <row r="57" spans="1:12" ht="15.75" thickTop="1" x14ac:dyDescent="0.45">
      <c r="A57" s="146">
        <f t="shared" si="0"/>
        <v>47</v>
      </c>
      <c r="B57" s="202"/>
      <c r="C57" s="203"/>
      <c r="D57" s="196"/>
      <c r="E57" s="204"/>
      <c r="F57" s="685"/>
      <c r="G57" s="685"/>
      <c r="H57" s="685"/>
      <c r="I57" s="685"/>
      <c r="J57" s="685"/>
      <c r="K57" s="180"/>
      <c r="L57" s="146">
        <f t="shared" si="1"/>
        <v>47</v>
      </c>
    </row>
    <row r="58" spans="1:12" ht="15.75" x14ac:dyDescent="0.5">
      <c r="A58" s="146">
        <f t="shared" si="0"/>
        <v>48</v>
      </c>
      <c r="B58" s="77" t="s">
        <v>16</v>
      </c>
      <c r="C58" s="25" t="s">
        <v>288</v>
      </c>
      <c r="E58" s="204"/>
      <c r="F58" s="685"/>
      <c r="G58" s="685"/>
      <c r="H58" s="685"/>
      <c r="I58" s="685"/>
      <c r="J58" s="685"/>
      <c r="K58" s="180"/>
      <c r="L58" s="146">
        <f t="shared" si="1"/>
        <v>48</v>
      </c>
    </row>
    <row r="59" spans="1:12" ht="17.649999999999999" x14ac:dyDescent="0.45">
      <c r="A59" s="146">
        <f t="shared" si="0"/>
        <v>49</v>
      </c>
      <c r="B59" s="613">
        <v>1</v>
      </c>
      <c r="C59" s="607" t="s">
        <v>634</v>
      </c>
      <c r="E59" s="204"/>
      <c r="F59" s="685"/>
      <c r="G59" s="685"/>
      <c r="H59" s="685"/>
      <c r="I59" s="685"/>
      <c r="J59" s="685"/>
      <c r="K59" s="180"/>
      <c r="L59" s="146">
        <f t="shared" si="1"/>
        <v>49</v>
      </c>
    </row>
    <row r="60" spans="1:12" ht="17.649999999999999" x14ac:dyDescent="0.45">
      <c r="A60" s="146">
        <f t="shared" si="0"/>
        <v>50</v>
      </c>
      <c r="B60" s="630"/>
      <c r="C60" s="20" t="s">
        <v>439</v>
      </c>
      <c r="E60" s="204"/>
      <c r="F60" s="685"/>
      <c r="G60" s="685"/>
      <c r="H60" s="685"/>
      <c r="I60" s="685"/>
      <c r="J60" s="685"/>
      <c r="K60" s="180"/>
      <c r="L60" s="146">
        <f t="shared" si="1"/>
        <v>50</v>
      </c>
    </row>
    <row r="61" spans="1:12" ht="17.25" x14ac:dyDescent="0.45">
      <c r="A61" s="146">
        <f t="shared" si="0"/>
        <v>51</v>
      </c>
      <c r="B61" s="205">
        <v>2</v>
      </c>
      <c r="C61" s="171" t="s">
        <v>648</v>
      </c>
      <c r="E61" s="204"/>
      <c r="F61" s="685"/>
      <c r="G61" s="685"/>
      <c r="H61" s="685"/>
      <c r="I61" s="685"/>
      <c r="J61" s="685"/>
      <c r="K61" s="180"/>
      <c r="L61" s="146">
        <f t="shared" si="1"/>
        <v>51</v>
      </c>
    </row>
    <row r="62" spans="1:12" ht="17.25" x14ac:dyDescent="0.45">
      <c r="A62" s="146">
        <f t="shared" si="0"/>
        <v>52</v>
      </c>
      <c r="B62" s="205">
        <v>3</v>
      </c>
      <c r="C62" s="46" t="s">
        <v>649</v>
      </c>
      <c r="E62" s="204"/>
      <c r="F62" s="685"/>
      <c r="G62" s="685"/>
      <c r="H62" s="685"/>
      <c r="I62" s="685"/>
      <c r="J62" s="685"/>
      <c r="K62" s="180"/>
      <c r="L62" s="146">
        <f t="shared" si="1"/>
        <v>52</v>
      </c>
    </row>
    <row r="63" spans="1:12" ht="17.25" x14ac:dyDescent="0.45">
      <c r="A63" s="146">
        <f t="shared" si="0"/>
        <v>53</v>
      </c>
      <c r="B63" s="205"/>
      <c r="C63" s="46" t="s">
        <v>655</v>
      </c>
      <c r="E63" s="204"/>
      <c r="F63" s="685"/>
      <c r="G63" s="685"/>
      <c r="H63" s="685"/>
      <c r="I63" s="685"/>
      <c r="J63" s="685"/>
      <c r="K63" s="180"/>
      <c r="L63" s="146">
        <f t="shared" si="1"/>
        <v>53</v>
      </c>
    </row>
    <row r="64" spans="1:12" ht="17.25" x14ac:dyDescent="0.45">
      <c r="A64" s="146">
        <f t="shared" si="0"/>
        <v>54</v>
      </c>
      <c r="B64" s="205">
        <v>4</v>
      </c>
      <c r="C64" s="46" t="s">
        <v>653</v>
      </c>
      <c r="E64" s="204"/>
      <c r="F64" s="685"/>
      <c r="G64" s="685"/>
      <c r="H64" s="685"/>
      <c r="I64" s="685"/>
      <c r="J64" s="685"/>
      <c r="K64" s="180"/>
      <c r="L64" s="146">
        <f t="shared" si="1"/>
        <v>54</v>
      </c>
    </row>
    <row r="65" spans="1:12" ht="17.25" x14ac:dyDescent="0.45">
      <c r="A65" s="146">
        <f t="shared" si="0"/>
        <v>55</v>
      </c>
      <c r="B65" s="205"/>
      <c r="C65" s="46" t="s">
        <v>654</v>
      </c>
      <c r="E65" s="204"/>
      <c r="F65" s="685"/>
      <c r="G65" s="685"/>
      <c r="H65" s="685"/>
      <c r="I65" s="685"/>
      <c r="J65" s="685"/>
      <c r="K65" s="180"/>
      <c r="L65" s="146">
        <f t="shared" si="1"/>
        <v>55</v>
      </c>
    </row>
    <row r="66" spans="1:12" ht="15.75" thickBot="1" x14ac:dyDescent="0.5">
      <c r="A66" s="146">
        <f t="shared" si="0"/>
        <v>56</v>
      </c>
      <c r="B66" s="206"/>
      <c r="C66" s="207"/>
      <c r="D66" s="148"/>
      <c r="E66" s="148"/>
      <c r="F66" s="148"/>
      <c r="G66" s="148"/>
      <c r="H66" s="148"/>
      <c r="I66" s="148"/>
      <c r="J66" s="148"/>
      <c r="K66" s="189"/>
      <c r="L66" s="146">
        <f t="shared" si="1"/>
        <v>56</v>
      </c>
    </row>
    <row r="67" spans="1:12" x14ac:dyDescent="0.45">
      <c r="C67" s="171"/>
    </row>
    <row r="68" spans="1:12" x14ac:dyDescent="0.45">
      <c r="A68" s="686"/>
      <c r="C68" s="171"/>
      <c r="D68" s="208"/>
      <c r="E68" s="208"/>
    </row>
    <row r="69" spans="1:12" ht="17.25" x14ac:dyDescent="0.45">
      <c r="A69" s="209"/>
      <c r="B69" s="614"/>
      <c r="C69" s="20"/>
      <c r="D69" s="289"/>
      <c r="E69" s="289"/>
      <c r="F69" s="289"/>
      <c r="G69" s="289"/>
      <c r="H69" s="289"/>
      <c r="I69" s="289"/>
      <c r="J69" s="289"/>
    </row>
    <row r="70" spans="1:12" ht="17.25" x14ac:dyDescent="0.45">
      <c r="A70" s="209"/>
      <c r="B70" s="614"/>
      <c r="C70" s="570"/>
      <c r="D70" s="289"/>
      <c r="E70" s="289"/>
      <c r="F70" s="289"/>
      <c r="G70" s="289"/>
      <c r="H70" s="289"/>
      <c r="I70" s="289"/>
      <c r="J70" s="289"/>
    </row>
    <row r="71" spans="1:12" ht="17.25" x14ac:dyDescent="0.45">
      <c r="A71" s="209"/>
      <c r="B71" s="45"/>
      <c r="C71" s="20"/>
      <c r="D71" s="20"/>
      <c r="E71" s="20"/>
      <c r="F71" s="20"/>
      <c r="G71" s="20"/>
      <c r="H71" s="20"/>
      <c r="I71" s="20"/>
      <c r="J71" s="20"/>
    </row>
    <row r="72" spans="1:12" ht="17.25" x14ac:dyDescent="0.45">
      <c r="A72" s="209"/>
      <c r="C72" s="171"/>
    </row>
    <row r="73" spans="1:12" ht="17.25" x14ac:dyDescent="0.45">
      <c r="A73" s="209"/>
      <c r="C73" s="171"/>
    </row>
    <row r="74" spans="1:12" ht="17.25" x14ac:dyDescent="0.45">
      <c r="A74" s="209"/>
      <c r="C74" s="171"/>
    </row>
    <row r="75" spans="1:12" x14ac:dyDescent="0.45">
      <c r="A75" s="686"/>
      <c r="C75" s="171"/>
    </row>
    <row r="76" spans="1:12" ht="17.25" x14ac:dyDescent="0.45">
      <c r="A76" s="209"/>
      <c r="C76" s="171"/>
    </row>
    <row r="77" spans="1:12" x14ac:dyDescent="0.45">
      <c r="A77" s="686"/>
      <c r="C77" s="171"/>
    </row>
    <row r="78" spans="1:12" ht="17.25" x14ac:dyDescent="0.45">
      <c r="A78" s="209"/>
      <c r="C78" s="171"/>
    </row>
    <row r="79" spans="1:12" x14ac:dyDescent="0.45">
      <c r="A79" s="686"/>
      <c r="C79" s="171"/>
    </row>
    <row r="80" spans="1:12" ht="17.25" x14ac:dyDescent="0.45">
      <c r="A80" s="209"/>
      <c r="C80" s="171"/>
    </row>
    <row r="81" spans="1:2" ht="17.25" x14ac:dyDescent="0.45">
      <c r="A81" s="209"/>
      <c r="B81" s="171"/>
    </row>
    <row r="82" spans="1:2" ht="17.25" x14ac:dyDescent="0.45">
      <c r="A82" s="209"/>
      <c r="B82" s="171"/>
    </row>
    <row r="83" spans="1:2" x14ac:dyDescent="0.45">
      <c r="B83" s="171"/>
    </row>
    <row r="84" spans="1:2" ht="17.25" x14ac:dyDescent="0.45">
      <c r="A84" s="209"/>
      <c r="B84" s="171"/>
    </row>
    <row r="85" spans="1:2" x14ac:dyDescent="0.45">
      <c r="A85" s="631"/>
      <c r="B85" s="632"/>
    </row>
    <row r="86" spans="1:2" x14ac:dyDescent="0.45">
      <c r="B86" s="171"/>
    </row>
  </sheetData>
  <mergeCells count="4">
    <mergeCell ref="B2:K2"/>
    <mergeCell ref="B3:K3"/>
    <mergeCell ref="B4:K4"/>
    <mergeCell ref="B5:K5"/>
  </mergeCells>
  <printOptions horizontalCentered="1"/>
  <pageMargins left="0.25" right="0.25" top="0.5" bottom="0.5" header="0.35" footer="0.25"/>
  <pageSetup scale="47" orientation="portrait" r:id="rId1"/>
  <headerFooter scaleWithDoc="0" alignWithMargins="0">
    <oddHeader>&amp;C&amp;"Times New Roman,Bold"REVISED</oddHeader>
    <oddFooter>&amp;CPage 7.2&amp;R&amp;F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0FDD8C43D82F49AB8C4057A15F2F1C" ma:contentTypeVersion="8" ma:contentTypeDescription="Create a new document." ma:contentTypeScope="" ma:versionID="7984683deb0eadfe33b7313b7d5520e1">
  <xsd:schema xmlns:xsd="http://www.w3.org/2001/XMLSchema" xmlns:xs="http://www.w3.org/2001/XMLSchema" xmlns:p="http://schemas.microsoft.com/office/2006/metadata/properties" xmlns:ns2="d1b6833a-d8f7-4a13-b002-37960639cb34" targetNamespace="http://schemas.microsoft.com/office/2006/metadata/properties" ma:root="true" ma:fieldsID="72a83c8cf6be1a1d7d46bd788d014a3e" ns2:_="">
    <xsd:import namespace="d1b6833a-d8f7-4a13-b002-37960639c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833a-d8f7-4a13-b002-37960639c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3B3B9-87C6-4A42-8C75-02B6AB4D9C3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1b6833a-d8f7-4a13-b002-37960639cb34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17762D-FE34-434E-8404-BFC603C6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6833a-d8f7-4a13-b002-37960639c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Pg1 Appendix XII C3 Cost Adj</vt:lpstr>
      <vt:lpstr>Pg2 Appendix XII C3 Comparison</vt:lpstr>
      <vt:lpstr>Pg3 Revised Appendix XII C3</vt:lpstr>
      <vt:lpstr>Pg4 As Filed Appendix XII C3</vt:lpstr>
      <vt:lpstr>Pg5 Rev B.Sec.2-Non-Direct Exp</vt:lpstr>
      <vt:lpstr>Pg6 Revised D.Sec.4-TU</vt:lpstr>
      <vt:lpstr>Pg7 Revised Stmt AH</vt:lpstr>
      <vt:lpstr>Pg7.1 Revised AH-2</vt:lpstr>
      <vt:lpstr>Pg7.2 Revised AH-3</vt:lpstr>
      <vt:lpstr>Pg8 Revised Stmt AL</vt:lpstr>
      <vt:lpstr>Pg9 Revised Stmt AV</vt:lpstr>
      <vt:lpstr>Pg10 Revised AV-4</vt:lpstr>
      <vt:lpstr>Pg11 Appendix XII C3 Int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Tanedo, Lolit</dc:creator>
  <cp:lastModifiedBy>Tanedo, Lolit</cp:lastModifiedBy>
  <cp:lastPrinted>2021-10-13T16:30:16Z</cp:lastPrinted>
  <dcterms:created xsi:type="dcterms:W3CDTF">2021-03-15T22:51:55Z</dcterms:created>
  <dcterms:modified xsi:type="dcterms:W3CDTF">2021-10-13T17:43:43Z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0x0101005C0FDD8C43D82F49AB8C4057A15F2F1C</vt:lpwstr>
  </property>
</Properties>
</file>